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336" windowWidth="19440" windowHeight="7596" activeTab="2"/>
  </bookViews>
  <sheets>
    <sheet name="Lønnstabell fra 1 juni 2013" sheetId="1" r:id="rId1"/>
    <sheet name="Tabell med 47% sokkelkomp." sheetId="2" r:id="rId2"/>
    <sheet name="Tab. med fast avt. sokkelkomp." sheetId="3" r:id="rId3"/>
  </sheets>
  <definedNames>
    <definedName name="_xlnm.Print_Area" localSheetId="0">'Lønnstabell fra 1 juni 2013'!$A$1:$N$48</definedName>
  </definedNames>
  <calcPr calcId="145621"/>
</workbook>
</file>

<file path=xl/calcChain.xml><?xml version="1.0" encoding="utf-8"?>
<calcChain xmlns="http://schemas.openxmlformats.org/spreadsheetml/2006/main">
  <c r="M35" i="3" l="1"/>
  <c r="L35" i="3"/>
  <c r="K35" i="3"/>
  <c r="J35" i="3"/>
  <c r="I35" i="3"/>
  <c r="H35" i="3"/>
  <c r="G35" i="3"/>
  <c r="F35" i="3"/>
  <c r="M26" i="3"/>
  <c r="L26" i="3"/>
  <c r="K26" i="3"/>
  <c r="J26" i="3"/>
  <c r="I26" i="3"/>
  <c r="H26" i="3"/>
  <c r="G26" i="3"/>
  <c r="F26" i="3"/>
  <c r="M15" i="3"/>
  <c r="L15" i="3"/>
  <c r="K15" i="3"/>
  <c r="J15" i="3"/>
  <c r="I15" i="3"/>
  <c r="H15" i="3"/>
  <c r="G15" i="3"/>
  <c r="F15" i="3"/>
  <c r="N6" i="3"/>
  <c r="M6" i="3"/>
  <c r="L6" i="3"/>
  <c r="K6" i="3"/>
  <c r="J6" i="3"/>
  <c r="I6" i="3"/>
  <c r="H6" i="3"/>
  <c r="G6" i="3"/>
  <c r="M35" i="2"/>
  <c r="L35" i="2"/>
  <c r="K35" i="2"/>
  <c r="J35" i="2"/>
  <c r="I35" i="2"/>
  <c r="H35" i="2"/>
  <c r="G35" i="2"/>
  <c r="F35" i="2"/>
  <c r="M26" i="2"/>
  <c r="L26" i="2"/>
  <c r="K26" i="2"/>
  <c r="J26" i="2"/>
  <c r="I26" i="2"/>
  <c r="H26" i="2"/>
  <c r="G26" i="2"/>
  <c r="F26" i="2"/>
  <c r="M15" i="2"/>
  <c r="L15" i="2"/>
  <c r="K15" i="2"/>
  <c r="J15" i="2"/>
  <c r="I15" i="2"/>
  <c r="H15" i="2"/>
  <c r="G15" i="2"/>
  <c r="F15" i="2"/>
  <c r="N6" i="2"/>
  <c r="M6" i="2"/>
  <c r="L6" i="2"/>
  <c r="K6" i="2"/>
  <c r="J6" i="2"/>
  <c r="I6" i="2"/>
  <c r="H6" i="2"/>
  <c r="G6" i="2"/>
  <c r="M34" i="1"/>
  <c r="L34" i="1"/>
  <c r="K34" i="1"/>
  <c r="J34" i="1"/>
  <c r="I34" i="1"/>
  <c r="H34" i="1"/>
  <c r="G34" i="1"/>
  <c r="F34" i="1"/>
  <c r="M25" i="1"/>
  <c r="L25" i="1"/>
  <c r="K25" i="1"/>
  <c r="J25" i="1"/>
  <c r="I25" i="1"/>
  <c r="H25" i="1"/>
  <c r="G25" i="1"/>
  <c r="F25" i="1"/>
  <c r="M14" i="1"/>
  <c r="L14" i="1"/>
  <c r="K14" i="1"/>
  <c r="J14" i="1"/>
  <c r="I14" i="1"/>
  <c r="H14" i="1"/>
  <c r="G14" i="1"/>
  <c r="F14" i="1"/>
  <c r="N5" i="1"/>
  <c r="M5" i="1"/>
  <c r="L5" i="1"/>
  <c r="K5" i="1"/>
  <c r="J5" i="1"/>
  <c r="I5" i="1"/>
  <c r="H5" i="1"/>
  <c r="G5" i="1"/>
  <c r="M37" i="3" l="1"/>
  <c r="M38" i="3" s="1"/>
  <c r="L40" i="3"/>
  <c r="K39" i="3"/>
  <c r="J40" i="3"/>
  <c r="I39" i="3"/>
  <c r="G37" i="3"/>
  <c r="M37" i="2"/>
  <c r="L40" i="2"/>
  <c r="H40" i="2"/>
  <c r="G39" i="2"/>
  <c r="F40" i="2"/>
  <c r="M31" i="3"/>
  <c r="L31" i="3"/>
  <c r="K30" i="3"/>
  <c r="I31" i="3"/>
  <c r="H31" i="3"/>
  <c r="G28" i="3"/>
  <c r="M30" i="2"/>
  <c r="L28" i="2"/>
  <c r="K31" i="2"/>
  <c r="J28" i="2"/>
  <c r="J27" i="2" s="1"/>
  <c r="H28" i="2"/>
  <c r="H27" i="2" s="1"/>
  <c r="G30" i="2"/>
  <c r="F30" i="2"/>
  <c r="M19" i="3"/>
  <c r="K19" i="3"/>
  <c r="I19" i="3"/>
  <c r="H19" i="3"/>
  <c r="G19" i="3"/>
  <c r="F20" i="3"/>
  <c r="M17" i="2"/>
  <c r="M16" i="2" s="1"/>
  <c r="L19" i="2"/>
  <c r="H17" i="2"/>
  <c r="H18" i="2" s="1"/>
  <c r="F19" i="2"/>
  <c r="N10" i="3"/>
  <c r="M10" i="3"/>
  <c r="L10" i="3"/>
  <c r="K11" i="3"/>
  <c r="J10" i="3"/>
  <c r="I10" i="3"/>
  <c r="H11" i="3"/>
  <c r="G8" i="3"/>
  <c r="G9" i="3" s="1"/>
  <c r="N11" i="2"/>
  <c r="M10" i="2"/>
  <c r="K8" i="2"/>
  <c r="K7" i="2" s="1"/>
  <c r="J10" i="2"/>
  <c r="G10" i="2"/>
  <c r="M39" i="3"/>
  <c r="L39" i="3"/>
  <c r="H39" i="3"/>
  <c r="I37" i="3"/>
  <c r="I38" i="3" s="1"/>
  <c r="H40" i="3"/>
  <c r="I28" i="3"/>
  <c r="I29" i="3" s="1"/>
  <c r="J20" i="3"/>
  <c r="L19" i="3"/>
  <c r="L20" i="3"/>
  <c r="H20" i="3"/>
  <c r="M11" i="3"/>
  <c r="J11" i="3"/>
  <c r="F37" i="2"/>
  <c r="F38" i="2" s="1"/>
  <c r="M39" i="2"/>
  <c r="J39" i="2"/>
  <c r="I39" i="2"/>
  <c r="F39" i="2"/>
  <c r="F28" i="2"/>
  <c r="F27" i="2" s="1"/>
  <c r="G17" i="2"/>
  <c r="G16" i="2" s="1"/>
  <c r="K19" i="2"/>
  <c r="I17" i="2"/>
  <c r="I16" i="2" s="1"/>
  <c r="G19" i="2"/>
  <c r="H10" i="2"/>
  <c r="N10" i="2"/>
  <c r="I10" i="2"/>
  <c r="J8" i="2" l="1"/>
  <c r="J9" i="2" s="1"/>
  <c r="H19" i="2"/>
  <c r="L20" i="2"/>
  <c r="G31" i="2"/>
  <c r="G8" i="2"/>
  <c r="G7" i="2" s="1"/>
  <c r="N11" i="3"/>
  <c r="I40" i="3"/>
  <c r="I11" i="3"/>
  <c r="G30" i="3"/>
  <c r="M40" i="3"/>
  <c r="G11" i="3"/>
  <c r="I20" i="3"/>
  <c r="I17" i="3"/>
  <c r="I18" i="3" s="1"/>
  <c r="G10" i="3"/>
  <c r="K10" i="3"/>
  <c r="M17" i="3"/>
  <c r="M18" i="3" s="1"/>
  <c r="H8" i="3"/>
  <c r="H9" i="3" s="1"/>
  <c r="L8" i="3"/>
  <c r="L9" i="3" s="1"/>
  <c r="K8" i="3"/>
  <c r="K9" i="3" s="1"/>
  <c r="M20" i="3"/>
  <c r="L30" i="3"/>
  <c r="H20" i="2"/>
  <c r="J30" i="2"/>
  <c r="J8" i="3"/>
  <c r="J12" i="3" s="1"/>
  <c r="J14" i="3" s="1"/>
  <c r="I30" i="3"/>
  <c r="G39" i="3"/>
  <c r="N8" i="3"/>
  <c r="M28" i="3"/>
  <c r="M29" i="3" s="1"/>
  <c r="M30" i="3"/>
  <c r="K37" i="3"/>
  <c r="K38" i="3" s="1"/>
  <c r="K28" i="3"/>
  <c r="K32" i="3" s="1"/>
  <c r="H30" i="3"/>
  <c r="I32" i="3"/>
  <c r="I33" i="3" s="1"/>
  <c r="K30" i="2"/>
  <c r="K28" i="2"/>
  <c r="K32" i="2" s="1"/>
  <c r="F17" i="3"/>
  <c r="F18" i="3" s="1"/>
  <c r="F19" i="3"/>
  <c r="G12" i="3"/>
  <c r="G14" i="3" s="1"/>
  <c r="M8" i="2"/>
  <c r="H16" i="2"/>
  <c r="N8" i="2"/>
  <c r="G11" i="2"/>
  <c r="K17" i="2"/>
  <c r="K18" i="2" s="1"/>
  <c r="M19" i="2"/>
  <c r="M20" i="2"/>
  <c r="G28" i="2"/>
  <c r="L30" i="2"/>
  <c r="L31" i="2"/>
  <c r="F36" i="2"/>
  <c r="I37" i="2"/>
  <c r="I41" i="2" s="1"/>
  <c r="I42" i="2" s="1"/>
  <c r="J40" i="2"/>
  <c r="I8" i="2"/>
  <c r="I7" i="2" s="1"/>
  <c r="J11" i="2"/>
  <c r="L17" i="2"/>
  <c r="J32" i="2"/>
  <c r="J34" i="2" s="1"/>
  <c r="J37" i="2"/>
  <c r="I34" i="3"/>
  <c r="G41" i="3"/>
  <c r="G38" i="3"/>
  <c r="H10" i="3"/>
  <c r="F28" i="3"/>
  <c r="F30" i="3"/>
  <c r="J30" i="3"/>
  <c r="J28" i="3"/>
  <c r="F31" i="3"/>
  <c r="L11" i="3"/>
  <c r="K12" i="3"/>
  <c r="J17" i="3"/>
  <c r="J19" i="3"/>
  <c r="G32" i="3"/>
  <c r="G29" i="3"/>
  <c r="J31" i="3"/>
  <c r="I41" i="3"/>
  <c r="K41" i="3"/>
  <c r="G17" i="3"/>
  <c r="G20" i="3"/>
  <c r="K17" i="3"/>
  <c r="K20" i="3"/>
  <c r="F39" i="3"/>
  <c r="F37" i="3"/>
  <c r="J39" i="3"/>
  <c r="J37" i="3"/>
  <c r="F40" i="3"/>
  <c r="M41" i="3"/>
  <c r="G31" i="3"/>
  <c r="G40" i="3"/>
  <c r="K40" i="3"/>
  <c r="I8" i="3"/>
  <c r="M8" i="3"/>
  <c r="H17" i="3"/>
  <c r="L17" i="3"/>
  <c r="H28" i="3"/>
  <c r="L28" i="3"/>
  <c r="H37" i="3"/>
  <c r="L37" i="3"/>
  <c r="K31" i="3"/>
  <c r="K37" i="2"/>
  <c r="K40" i="2"/>
  <c r="G18" i="2"/>
  <c r="F29" i="2"/>
  <c r="M38" i="2"/>
  <c r="M36" i="2"/>
  <c r="K39" i="2"/>
  <c r="K12" i="2"/>
  <c r="K9" i="2"/>
  <c r="I21" i="2"/>
  <c r="I18" i="2"/>
  <c r="I19" i="2"/>
  <c r="G21" i="2"/>
  <c r="H32" i="2"/>
  <c r="H29" i="2"/>
  <c r="L32" i="2"/>
  <c r="L29" i="2"/>
  <c r="H30" i="2"/>
  <c r="F32" i="2"/>
  <c r="M41" i="2"/>
  <c r="H11" i="2"/>
  <c r="H8" i="2"/>
  <c r="L11" i="2"/>
  <c r="L8" i="2"/>
  <c r="M9" i="2"/>
  <c r="L10" i="2"/>
  <c r="K11" i="2"/>
  <c r="F20" i="2"/>
  <c r="F17" i="2"/>
  <c r="J20" i="2"/>
  <c r="J17" i="2"/>
  <c r="J19" i="2"/>
  <c r="I20" i="2"/>
  <c r="H21" i="2"/>
  <c r="I31" i="2"/>
  <c r="I28" i="2"/>
  <c r="M31" i="2"/>
  <c r="M28" i="2"/>
  <c r="L27" i="2"/>
  <c r="J29" i="2"/>
  <c r="I30" i="2"/>
  <c r="H31" i="2"/>
  <c r="G37" i="2"/>
  <c r="G40" i="2"/>
  <c r="K10" i="2"/>
  <c r="M21" i="2"/>
  <c r="M18" i="2"/>
  <c r="H39" i="2"/>
  <c r="F41" i="2"/>
  <c r="I11" i="2"/>
  <c r="M11" i="2"/>
  <c r="G20" i="2"/>
  <c r="K20" i="2"/>
  <c r="F31" i="2"/>
  <c r="J31" i="2"/>
  <c r="H37" i="2"/>
  <c r="L37" i="2"/>
  <c r="I40" i="2"/>
  <c r="M40" i="2"/>
  <c r="L39" i="2"/>
  <c r="I38" i="2" l="1"/>
  <c r="L12" i="3"/>
  <c r="L13" i="3" s="1"/>
  <c r="H12" i="3"/>
  <c r="H13" i="3" s="1"/>
  <c r="G9" i="2"/>
  <c r="J12" i="2"/>
  <c r="J14" i="2" s="1"/>
  <c r="G12" i="2"/>
  <c r="G13" i="2" s="1"/>
  <c r="J13" i="3"/>
  <c r="J7" i="2"/>
  <c r="I43" i="2"/>
  <c r="I9" i="2"/>
  <c r="K33" i="2"/>
  <c r="K34" i="2"/>
  <c r="F21" i="3"/>
  <c r="F23" i="3" s="1"/>
  <c r="M21" i="3"/>
  <c r="M22" i="3" s="1"/>
  <c r="I21" i="3"/>
  <c r="I23" i="3" s="1"/>
  <c r="J9" i="3"/>
  <c r="G13" i="3"/>
  <c r="K29" i="3"/>
  <c r="M32" i="3"/>
  <c r="N12" i="3"/>
  <c r="N9" i="3"/>
  <c r="K29" i="2"/>
  <c r="K27" i="2"/>
  <c r="I12" i="2"/>
  <c r="I13" i="2" s="1"/>
  <c r="G29" i="2"/>
  <c r="G27" i="2"/>
  <c r="I36" i="2"/>
  <c r="J33" i="2"/>
  <c r="N9" i="2"/>
  <c r="N12" i="2"/>
  <c r="N7" i="2"/>
  <c r="M7" i="2"/>
  <c r="M12" i="2"/>
  <c r="J38" i="2"/>
  <c r="J36" i="2"/>
  <c r="K16" i="2"/>
  <c r="K21" i="2"/>
  <c r="J41" i="2"/>
  <c r="J42" i="2" s="1"/>
  <c r="G32" i="2"/>
  <c r="G33" i="2" s="1"/>
  <c r="L18" i="2"/>
  <c r="L16" i="2"/>
  <c r="L21" i="2"/>
  <c r="L32" i="3"/>
  <c r="L29" i="3"/>
  <c r="M12" i="3"/>
  <c r="M9" i="3"/>
  <c r="K21" i="3"/>
  <c r="K18" i="3"/>
  <c r="L14" i="3"/>
  <c r="K42" i="3"/>
  <c r="K43" i="3"/>
  <c r="K33" i="3"/>
  <c r="K34" i="3"/>
  <c r="F29" i="3"/>
  <c r="F32" i="3"/>
  <c r="H32" i="3"/>
  <c r="H29" i="3"/>
  <c r="I12" i="3"/>
  <c r="I9" i="3"/>
  <c r="M43" i="3"/>
  <c r="M42" i="3"/>
  <c r="F38" i="3"/>
  <c r="F41" i="3"/>
  <c r="I43" i="3"/>
  <c r="I42" i="3"/>
  <c r="J18" i="3"/>
  <c r="J21" i="3"/>
  <c r="J29" i="3"/>
  <c r="J32" i="3"/>
  <c r="L41" i="3"/>
  <c r="L38" i="3"/>
  <c r="L21" i="3"/>
  <c r="L18" i="3"/>
  <c r="G21" i="3"/>
  <c r="G18" i="3"/>
  <c r="H14" i="3"/>
  <c r="G33" i="3"/>
  <c r="G34" i="3"/>
  <c r="K13" i="3"/>
  <c r="K14" i="3"/>
  <c r="G42" i="3"/>
  <c r="G43" i="3"/>
  <c r="H41" i="3"/>
  <c r="H38" i="3"/>
  <c r="H21" i="3"/>
  <c r="H18" i="3"/>
  <c r="J38" i="3"/>
  <c r="J41" i="3"/>
  <c r="M22" i="2"/>
  <c r="M23" i="2"/>
  <c r="H36" i="2"/>
  <c r="H41" i="2"/>
  <c r="H38" i="2"/>
  <c r="F42" i="2"/>
  <c r="F43" i="2"/>
  <c r="G41" i="2"/>
  <c r="G36" i="2"/>
  <c r="G38" i="2"/>
  <c r="M27" i="2"/>
  <c r="M32" i="2"/>
  <c r="M29" i="2"/>
  <c r="F34" i="2"/>
  <c r="F33" i="2"/>
  <c r="F16" i="2"/>
  <c r="F21" i="2"/>
  <c r="F18" i="2"/>
  <c r="H7" i="2"/>
  <c r="H12" i="2"/>
  <c r="H9" i="2"/>
  <c r="H33" i="2"/>
  <c r="H34" i="2"/>
  <c r="I22" i="2"/>
  <c r="I23" i="2"/>
  <c r="I27" i="2"/>
  <c r="I32" i="2"/>
  <c r="I29" i="2"/>
  <c r="H22" i="2"/>
  <c r="H23" i="2"/>
  <c r="G23" i="2"/>
  <c r="G22" i="2"/>
  <c r="K13" i="2"/>
  <c r="K14" i="2"/>
  <c r="L36" i="2"/>
  <c r="L41" i="2"/>
  <c r="L38" i="2"/>
  <c r="J16" i="2"/>
  <c r="J21" i="2"/>
  <c r="J18" i="2"/>
  <c r="J13" i="2"/>
  <c r="L7" i="2"/>
  <c r="L12" i="2"/>
  <c r="L9" i="2"/>
  <c r="M43" i="2"/>
  <c r="M42" i="2"/>
  <c r="L33" i="2"/>
  <c r="L34" i="2"/>
  <c r="K41" i="2"/>
  <c r="K38" i="2"/>
  <c r="K36" i="2"/>
  <c r="F22" i="3" l="1"/>
  <c r="G14" i="2"/>
  <c r="I14" i="2"/>
  <c r="I22" i="3"/>
  <c r="M23" i="3"/>
  <c r="M33" i="3"/>
  <c r="M34" i="3"/>
  <c r="N14" i="3"/>
  <c r="N13" i="3"/>
  <c r="L23" i="2"/>
  <c r="L22" i="2"/>
  <c r="N14" i="2"/>
  <c r="N13" i="2"/>
  <c r="J43" i="2"/>
  <c r="G34" i="2"/>
  <c r="K23" i="2"/>
  <c r="K22" i="2"/>
  <c r="M14" i="2"/>
  <c r="M13" i="2"/>
  <c r="H23" i="3"/>
  <c r="H22" i="3"/>
  <c r="G22" i="3"/>
  <c r="G23" i="3"/>
  <c r="L43" i="3"/>
  <c r="L42" i="3"/>
  <c r="H34" i="3"/>
  <c r="H33" i="3"/>
  <c r="L34" i="3"/>
  <c r="L33" i="3"/>
  <c r="J42" i="3"/>
  <c r="J43" i="3"/>
  <c r="J33" i="3"/>
  <c r="J34" i="3"/>
  <c r="F42" i="3"/>
  <c r="F43" i="3"/>
  <c r="F33" i="3"/>
  <c r="F34" i="3"/>
  <c r="H43" i="3"/>
  <c r="H42" i="3"/>
  <c r="L23" i="3"/>
  <c r="L22" i="3"/>
  <c r="I14" i="3"/>
  <c r="I13" i="3"/>
  <c r="K22" i="3"/>
  <c r="K23" i="3"/>
  <c r="M13" i="3"/>
  <c r="M14" i="3"/>
  <c r="J22" i="3"/>
  <c r="J23" i="3"/>
  <c r="K42" i="2"/>
  <c r="K43" i="2"/>
  <c r="L14" i="2"/>
  <c r="L13" i="2"/>
  <c r="H14" i="2"/>
  <c r="H13" i="2"/>
  <c r="J23" i="2"/>
  <c r="J22" i="2"/>
  <c r="M34" i="2"/>
  <c r="M33" i="2"/>
  <c r="G42" i="2"/>
  <c r="G43" i="2"/>
  <c r="H43" i="2"/>
  <c r="H42" i="2"/>
  <c r="L43" i="2"/>
  <c r="L42" i="2"/>
  <c r="I34" i="2"/>
  <c r="I33" i="2"/>
  <c r="F23" i="2"/>
  <c r="F22" i="2"/>
</calcChain>
</file>

<file path=xl/sharedStrings.xml><?xml version="1.0" encoding="utf-8"?>
<sst xmlns="http://schemas.openxmlformats.org/spreadsheetml/2006/main" count="243" uniqueCount="72">
  <si>
    <t>Avtale mellom Industri Energi og OLF</t>
  </si>
  <si>
    <t>Stillinger</t>
  </si>
  <si>
    <t>Satser</t>
  </si>
  <si>
    <t>Ansiennitet</t>
  </si>
  <si>
    <t>OSA</t>
  </si>
  <si>
    <t>A</t>
  </si>
  <si>
    <t>MUB Ingeniør</t>
  </si>
  <si>
    <t>Årslønn Tariff</t>
  </si>
  <si>
    <t>Retningsmåler</t>
  </si>
  <si>
    <t>Borestedsgeolog</t>
  </si>
  <si>
    <t>Feltgeolog</t>
  </si>
  <si>
    <t>Brønnspesialist</t>
  </si>
  <si>
    <t>Senior Surveyor 2</t>
  </si>
  <si>
    <t>B</t>
  </si>
  <si>
    <t>Senior Brønntekniker</t>
  </si>
  <si>
    <t>Boreveskeingeniør</t>
  </si>
  <si>
    <t>Senior Dataingeniør</t>
  </si>
  <si>
    <t>Senior Geolog</t>
  </si>
  <si>
    <t>Elektro og instrumenttekniker</t>
  </si>
  <si>
    <t xml:space="preserve"> </t>
  </si>
  <si>
    <t>Spesial hydrauliker</t>
  </si>
  <si>
    <t>Spesial kranfører</t>
  </si>
  <si>
    <t>Senior FU-operatør</t>
  </si>
  <si>
    <t>Senior Dykketekniker</t>
  </si>
  <si>
    <t>Dekksformann</t>
  </si>
  <si>
    <t>Surveyor 1</t>
  </si>
  <si>
    <t>C</t>
  </si>
  <si>
    <t>Brønntekniker</t>
  </si>
  <si>
    <t>Dataingeniør</t>
  </si>
  <si>
    <t>Geolog</t>
  </si>
  <si>
    <t>Fagarbeider/Sveiser/Kranfører</t>
  </si>
  <si>
    <t>Hydrauliker</t>
  </si>
  <si>
    <t>FU-operatør</t>
  </si>
  <si>
    <t>Dykketekniker</t>
  </si>
  <si>
    <t>Junior MUB ing</t>
  </si>
  <si>
    <t>Surveyor 2/ Junior Surveyor</t>
  </si>
  <si>
    <t>E</t>
  </si>
  <si>
    <t>Hjelpearbeider, Rigger</t>
  </si>
  <si>
    <t>Opplæringsstilling 1)</t>
  </si>
  <si>
    <t>1) Gjelder ikke fagarbeiderstilling</t>
  </si>
  <si>
    <t>Ny forståelse knyttet til lønnsmatrisen vedr. opplæringsstillinger: Med formuleringen ”gjelder ikke fagarbeidere” menes fagarbeidere som har fagbrev i stillingen vedkommende er / blir ansatt i.</t>
  </si>
  <si>
    <t>Følgende stillinger avlønnes iht avtalens bestemmelse 3.15.9:</t>
  </si>
  <si>
    <t>Borevæske Ingeniør 1</t>
  </si>
  <si>
    <t xml:space="preserve">Senior MUB Ingeniør </t>
  </si>
  <si>
    <t xml:space="preserve">Senior Retningsmåler </t>
  </si>
  <si>
    <t xml:space="preserve">Senior Borevæske Ingeniør </t>
  </si>
  <si>
    <t xml:space="preserve">Senior Brønnspesialist </t>
  </si>
  <si>
    <t>Senior Feltgeolog</t>
  </si>
  <si>
    <r>
      <t xml:space="preserve">Senior Surveyor 1 </t>
    </r>
    <r>
      <rPr>
        <i/>
        <sz val="10"/>
        <color indexed="10"/>
        <rFont val="Arial"/>
        <family val="2"/>
      </rPr>
      <t>(Surveyor stillingene er ikke avklart mellom partene)</t>
    </r>
  </si>
  <si>
    <t>Senior Arbeidsleder FU</t>
  </si>
  <si>
    <t>Arbeidsleder FU</t>
  </si>
  <si>
    <t xml:space="preserve"> Med  47% Sokkelkompensasjon</t>
  </si>
  <si>
    <t>Sokkelkompensasjon</t>
  </si>
  <si>
    <t>Månedslønn Ujustert</t>
  </si>
  <si>
    <t>Månedslønn Justert</t>
  </si>
  <si>
    <t>Offshore pr. time</t>
  </si>
  <si>
    <t>Offshore overtid/time</t>
  </si>
  <si>
    <t>Onshore pr. time</t>
  </si>
  <si>
    <t>Onshore 50% overt.</t>
  </si>
  <si>
    <t>Onshore 100% overt.</t>
  </si>
  <si>
    <t>Senior Surveyor 1</t>
  </si>
  <si>
    <r>
      <t>Arbeidsleder FU</t>
    </r>
    <r>
      <rPr>
        <sz val="9"/>
        <color indexed="10"/>
        <rFont val="Arial"/>
        <family val="2"/>
      </rPr>
      <t xml:space="preserve"> </t>
    </r>
  </si>
  <si>
    <t>(Surveyor stillingene er ikke avklart mellom partene)</t>
  </si>
  <si>
    <r>
      <rPr>
        <b/>
        <sz val="9"/>
        <color indexed="8"/>
        <rFont val="Arial"/>
        <family val="2"/>
      </rPr>
      <t>Med fast avtalt offshorebonus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8"/>
        <color indexed="8"/>
        <rFont val="Arial"/>
        <family val="2"/>
      </rPr>
      <t>fyll inn, i de grønne feltene, den avtalte offshorebonusen som gjelder i ditt selskap)</t>
    </r>
  </si>
  <si>
    <r>
      <t>Borevæske Ingeniør 1</t>
    </r>
    <r>
      <rPr>
        <sz val="14"/>
        <color indexed="10"/>
        <rFont val="Arial"/>
        <family val="2"/>
      </rPr>
      <t xml:space="preserve"> </t>
    </r>
  </si>
  <si>
    <t xml:space="preserve"> fjernes 1.1. 2016</t>
  </si>
  <si>
    <t>Laveste ansiennitetstrinn fjernes 1 jan. 2016</t>
  </si>
  <si>
    <t>OSA- OSBA</t>
  </si>
  <si>
    <t>Avtale mellom Industri Energi og OLF/NR</t>
  </si>
  <si>
    <t>I tillegg kommer: Nattillegg kr. 77 pr. time, og Bev. helligdagsgodtgjørelse kr. 1900,- pr. dag</t>
  </si>
  <si>
    <r>
      <t xml:space="preserve">LØNNSMATRISE FRA </t>
    </r>
    <r>
      <rPr>
        <b/>
        <sz val="12"/>
        <color indexed="8"/>
        <rFont val="Arial"/>
        <family val="2"/>
      </rPr>
      <t>01.06.2015</t>
    </r>
  </si>
  <si>
    <r>
      <t xml:space="preserve">LØNNSMATRISE FRA </t>
    </r>
    <r>
      <rPr>
        <b/>
        <sz val="12"/>
        <color indexed="8"/>
        <rFont val="Arial"/>
        <family val="2"/>
      </rPr>
      <t>1.6.2015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</si>
</sst>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_(* #,##0.00_);_(* \(#,##0.00\);_(* &quot;-&quot;??_);_(@_)"/>
    <numFmt numFmtId="166" formatCode="_(* #,##0_);_(* \(#,##0\);_(* &quot;-&quot;??_);_(@_)"/>
    <numFmt numFmtId="167" formatCode="0_ ;\-0\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Century Schoolbook"/>
      <family val="1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</font>
    <font>
      <sz val="1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14"/>
      <color indexed="10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i/>
      <sz val="10"/>
      <color indexed="10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0" fillId="0" borderId="1" xfId="0" applyBorder="1"/>
    <xf numFmtId="16" fontId="4" fillId="2" borderId="2" xfId="0" applyNumberFormat="1" applyFont="1" applyFill="1" applyBorder="1"/>
    <xf numFmtId="0" fontId="0" fillId="0" borderId="3" xfId="0" applyBorder="1"/>
    <xf numFmtId="16" fontId="5" fillId="2" borderId="1" xfId="0" applyNumberFormat="1" applyFont="1" applyFill="1" applyBorder="1"/>
    <xf numFmtId="0" fontId="6" fillId="2" borderId="2" xfId="0" applyFont="1" applyFill="1" applyBorder="1"/>
    <xf numFmtId="0" fontId="0" fillId="0" borderId="2" xfId="0" applyBorder="1"/>
    <xf numFmtId="0" fontId="7" fillId="3" borderId="4" xfId="0" applyFont="1" applyFill="1" applyBorder="1" applyAlignment="1">
      <alignment horizontal="left"/>
    </xf>
    <xf numFmtId="49" fontId="8" fillId="0" borderId="5" xfId="0" applyNumberFormat="1" applyFont="1" applyBorder="1"/>
    <xf numFmtId="16" fontId="6" fillId="3" borderId="6" xfId="0" applyNumberFormat="1" applyFont="1" applyFill="1" applyBorder="1"/>
    <xf numFmtId="0" fontId="9" fillId="2" borderId="7" xfId="0" applyFont="1" applyFill="1" applyBorder="1"/>
    <xf numFmtId="0" fontId="0" fillId="0" borderId="0" xfId="0" applyBorder="1"/>
    <xf numFmtId="0" fontId="6" fillId="2" borderId="0" xfId="0" applyFont="1" applyFill="1" applyBorder="1"/>
    <xf numFmtId="0" fontId="0" fillId="0" borderId="8" xfId="0" applyBorder="1"/>
    <xf numFmtId="0" fontId="7" fillId="0" borderId="1" xfId="0" applyFont="1" applyBorder="1" applyAlignment="1">
      <alignment horizontal="center"/>
    </xf>
    <xf numFmtId="49" fontId="10" fillId="3" borderId="3" xfId="0" applyNumberFormat="1" applyFont="1" applyFill="1" applyBorder="1" applyAlignment="1">
      <alignment horizontal="center" vertical="top" wrapText="1"/>
    </xf>
    <xf numFmtId="49" fontId="10" fillId="3" borderId="2" xfId="0" applyNumberFormat="1" applyFont="1" applyFill="1" applyBorder="1" applyAlignment="1">
      <alignment horizontal="center" vertical="top" wrapText="1"/>
    </xf>
    <xf numFmtId="0" fontId="7" fillId="3" borderId="9" xfId="0" applyFont="1" applyFill="1" applyBorder="1"/>
    <xf numFmtId="0" fontId="0" fillId="0" borderId="10" xfId="0" applyBorder="1"/>
    <xf numFmtId="0" fontId="3" fillId="3" borderId="10" xfId="0" applyFont="1" applyFill="1" applyBorder="1"/>
    <xf numFmtId="0" fontId="3" fillId="3" borderId="11" xfId="0" applyFont="1" applyFill="1" applyBorder="1"/>
    <xf numFmtId="0" fontId="11" fillId="4" borderId="4" xfId="0" applyFont="1" applyFill="1" applyBorder="1" applyAlignment="1">
      <alignment horizontal="center" vertical="top" wrapText="1"/>
    </xf>
    <xf numFmtId="49" fontId="6" fillId="3" borderId="6" xfId="0" applyNumberFormat="1" applyFont="1" applyFill="1" applyBorder="1"/>
    <xf numFmtId="49" fontId="10" fillId="3" borderId="6" xfId="0" applyNumberFormat="1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3" borderId="14" xfId="0" applyFont="1" applyFill="1" applyBorder="1"/>
    <xf numFmtId="0" fontId="15" fillId="3" borderId="2" xfId="0" applyFont="1" applyFill="1" applyBorder="1"/>
    <xf numFmtId="3" fontId="4" fillId="3" borderId="14" xfId="0" applyNumberFormat="1" applyFont="1" applyFill="1" applyBorder="1" applyAlignment="1">
      <alignment vertical="top"/>
    </xf>
    <xf numFmtId="3" fontId="4" fillId="3" borderId="1" xfId="0" applyNumberFormat="1" applyFont="1" applyFill="1" applyBorder="1" applyAlignment="1">
      <alignment vertical="top"/>
    </xf>
    <xf numFmtId="164" fontId="16" fillId="3" borderId="1" xfId="1" applyNumberFormat="1" applyFont="1" applyFill="1" applyBorder="1"/>
    <xf numFmtId="164" fontId="16" fillId="3" borderId="14" xfId="1" applyNumberFormat="1" applyFont="1" applyFill="1" applyBorder="1"/>
    <xf numFmtId="164" fontId="16" fillId="0" borderId="14" xfId="0" applyNumberFormat="1" applyFont="1" applyBorder="1"/>
    <xf numFmtId="0" fontId="17" fillId="0" borderId="7" xfId="0" applyFont="1" applyBorder="1" applyAlignment="1">
      <alignment horizontal="center"/>
    </xf>
    <xf numFmtId="0" fontId="14" fillId="3" borderId="13" xfId="0" applyFont="1" applyFill="1" applyBorder="1"/>
    <xf numFmtId="0" fontId="15" fillId="3" borderId="0" xfId="0" applyFont="1" applyFill="1" applyBorder="1"/>
    <xf numFmtId="164" fontId="8" fillId="3" borderId="13" xfId="1" applyNumberFormat="1" applyFont="1" applyFill="1" applyBorder="1"/>
    <xf numFmtId="164" fontId="8" fillId="3" borderId="8" xfId="1" applyNumberFormat="1" applyFont="1" applyFill="1" applyBorder="1"/>
    <xf numFmtId="164" fontId="8" fillId="3" borderId="0" xfId="1" applyNumberFormat="1" applyFont="1" applyFill="1" applyBorder="1"/>
    <xf numFmtId="0" fontId="0" fillId="0" borderId="7" xfId="0" applyBorder="1"/>
    <xf numFmtId="0" fontId="0" fillId="0" borderId="13" xfId="0" applyBorder="1"/>
    <xf numFmtId="0" fontId="15" fillId="3" borderId="0" xfId="0" applyFont="1" applyFill="1" applyBorder="1" applyAlignment="1">
      <alignment horizontal="left"/>
    </xf>
    <xf numFmtId="165" fontId="8" fillId="3" borderId="13" xfId="1" applyNumberFormat="1" applyFont="1" applyFill="1" applyBorder="1"/>
    <xf numFmtId="165" fontId="8" fillId="3" borderId="8" xfId="1" applyNumberFormat="1" applyFont="1" applyFill="1" applyBorder="1"/>
    <xf numFmtId="165" fontId="8" fillId="3" borderId="0" xfId="1" applyNumberFormat="1" applyFont="1" applyFill="1" applyBorder="1"/>
    <xf numFmtId="0" fontId="18" fillId="3" borderId="13" xfId="0" applyFont="1" applyFill="1" applyBorder="1"/>
    <xf numFmtId="0" fontId="19" fillId="0" borderId="13" xfId="0" applyFont="1" applyBorder="1"/>
    <xf numFmtId="49" fontId="6" fillId="3" borderId="12" xfId="0" applyNumberFormat="1" applyFont="1" applyFill="1" applyBorder="1"/>
    <xf numFmtId="0" fontId="15" fillId="3" borderId="5" xfId="0" applyFont="1" applyFill="1" applyBorder="1" applyAlignment="1">
      <alignment horizontal="left"/>
    </xf>
    <xf numFmtId="165" fontId="8" fillId="3" borderId="12" xfId="1" applyNumberFormat="1" applyFont="1" applyFill="1" applyBorder="1"/>
    <xf numFmtId="165" fontId="8" fillId="3" borderId="6" xfId="1" applyNumberFormat="1" applyFont="1" applyFill="1" applyBorder="1"/>
    <xf numFmtId="165" fontId="8" fillId="3" borderId="5" xfId="1" applyNumberFormat="1" applyFont="1" applyFill="1" applyBorder="1"/>
    <xf numFmtId="0" fontId="0" fillId="0" borderId="4" xfId="0" applyBorder="1"/>
    <xf numFmtId="0" fontId="0" fillId="0" borderId="12" xfId="0" applyBorder="1"/>
    <xf numFmtId="0" fontId="13" fillId="0" borderId="14" xfId="0" applyFont="1" applyBorder="1" applyAlignment="1">
      <alignment horizontal="center"/>
    </xf>
    <xf numFmtId="0" fontId="14" fillId="3" borderId="7" xfId="0" applyFont="1" applyFill="1" applyBorder="1"/>
    <xf numFmtId="0" fontId="15" fillId="3" borderId="1" xfId="0" applyFont="1" applyFill="1" applyBorder="1"/>
    <xf numFmtId="0" fontId="17" fillId="0" borderId="13" xfId="0" applyFont="1" applyBorder="1" applyAlignment="1">
      <alignment horizontal="center"/>
    </xf>
    <xf numFmtId="0" fontId="15" fillId="3" borderId="7" xfId="0" applyFont="1" applyFill="1" applyBorder="1"/>
    <xf numFmtId="164" fontId="8" fillId="3" borderId="7" xfId="1" applyNumberFormat="1" applyFont="1" applyFill="1" applyBorder="1"/>
    <xf numFmtId="0" fontId="15" fillId="3" borderId="7" xfId="0" applyFont="1" applyFill="1" applyBorder="1" applyAlignment="1">
      <alignment horizontal="left"/>
    </xf>
    <xf numFmtId="165" fontId="8" fillId="3" borderId="7" xfId="1" applyNumberFormat="1" applyFont="1" applyFill="1" applyBorder="1"/>
    <xf numFmtId="0" fontId="17" fillId="0" borderId="12" xfId="0" applyFont="1" applyBorder="1" applyAlignment="1">
      <alignment horizontal="center"/>
    </xf>
    <xf numFmtId="0" fontId="18" fillId="3" borderId="0" xfId="0" applyFont="1" applyFill="1"/>
    <xf numFmtId="0" fontId="15" fillId="3" borderId="4" xfId="0" applyFont="1" applyFill="1" applyBorder="1"/>
    <xf numFmtId="0" fontId="8" fillId="3" borderId="12" xfId="0" applyFont="1" applyFill="1" applyBorder="1"/>
    <xf numFmtId="0" fontId="8" fillId="3" borderId="0" xfId="0" applyFont="1" applyFill="1" applyBorder="1"/>
    <xf numFmtId="0" fontId="8" fillId="3" borderId="4" xfId="0" applyFont="1" applyFill="1" applyBorder="1"/>
    <xf numFmtId="0" fontId="13" fillId="0" borderId="1" xfId="0" applyFont="1" applyBorder="1" applyAlignment="1">
      <alignment horizontal="center"/>
    </xf>
    <xf numFmtId="0" fontId="21" fillId="3" borderId="13" xfId="0" applyFont="1" applyFill="1" applyBorder="1" applyAlignment="1">
      <alignment horizontal="center"/>
    </xf>
    <xf numFmtId="0" fontId="0" fillId="3" borderId="13" xfId="0" applyFill="1" applyBorder="1"/>
    <xf numFmtId="0" fontId="17" fillId="0" borderId="4" xfId="0" applyFont="1" applyBorder="1" applyAlignment="1">
      <alignment horizontal="center"/>
    </xf>
    <xf numFmtId="49" fontId="18" fillId="3" borderId="13" xfId="0" applyNumberFormat="1" applyFont="1" applyFill="1" applyBorder="1"/>
    <xf numFmtId="0" fontId="15" fillId="3" borderId="4" xfId="0" applyFont="1" applyFill="1" applyBorder="1" applyAlignment="1">
      <alignment horizontal="left"/>
    </xf>
    <xf numFmtId="0" fontId="0" fillId="3" borderId="12" xfId="0" applyFill="1" applyBorder="1"/>
    <xf numFmtId="0" fontId="14" fillId="3" borderId="12" xfId="0" applyFont="1" applyFill="1" applyBorder="1"/>
    <xf numFmtId="164" fontId="8" fillId="3" borderId="12" xfId="1" applyNumberFormat="1" applyFont="1" applyFill="1" applyBorder="1"/>
    <xf numFmtId="164" fontId="8" fillId="3" borderId="6" xfId="1" applyNumberFormat="1" applyFont="1" applyFill="1" applyBorder="1"/>
    <xf numFmtId="164" fontId="8" fillId="3" borderId="5" xfId="1" applyNumberFormat="1" applyFont="1" applyFill="1" applyBorder="1"/>
    <xf numFmtId="166" fontId="1" fillId="0" borderId="0" xfId="1" applyNumberFormat="1" applyFont="1" applyBorder="1"/>
    <xf numFmtId="0" fontId="22" fillId="0" borderId="15" xfId="0" applyFont="1" applyBorder="1"/>
    <xf numFmtId="0" fontId="0" fillId="0" borderId="15" xfId="0" applyBorder="1"/>
    <xf numFmtId="0" fontId="13" fillId="0" borderId="0" xfId="0" applyFont="1" applyBorder="1"/>
    <xf numFmtId="49" fontId="23" fillId="0" borderId="0" xfId="0" applyNumberFormat="1" applyFont="1" applyBorder="1"/>
    <xf numFmtId="0" fontId="23" fillId="2" borderId="0" xfId="0" applyFont="1" applyFill="1" applyBorder="1"/>
    <xf numFmtId="0" fontId="24" fillId="3" borderId="0" xfId="0" applyFont="1" applyFill="1" applyBorder="1"/>
    <xf numFmtId="0" fontId="0" fillId="3" borderId="0" xfId="0" applyFill="1"/>
    <xf numFmtId="0" fontId="6" fillId="3" borderId="0" xfId="0" applyFont="1" applyFill="1" applyBorder="1"/>
    <xf numFmtId="0" fontId="27" fillId="2" borderId="0" xfId="0" applyFont="1" applyFill="1" applyBorder="1" applyAlignment="1"/>
    <xf numFmtId="0" fontId="2" fillId="0" borderId="0" xfId="0" applyFont="1" applyBorder="1" applyAlignment="1"/>
    <xf numFmtId="0" fontId="0" fillId="3" borderId="0" xfId="0" applyFill="1" applyBorder="1"/>
    <xf numFmtId="3" fontId="17" fillId="0" borderId="0" xfId="0" applyNumberFormat="1" applyFont="1" applyBorder="1"/>
    <xf numFmtId="0" fontId="25" fillId="0" borderId="0" xfId="0" applyFont="1"/>
    <xf numFmtId="0" fontId="5" fillId="5" borderId="2" xfId="0" applyFont="1" applyFill="1" applyBorder="1" applyAlignment="1"/>
    <xf numFmtId="0" fontId="7" fillId="0" borderId="7" xfId="0" applyFont="1" applyBorder="1" applyAlignment="1">
      <alignment horizontal="center"/>
    </xf>
    <xf numFmtId="49" fontId="7" fillId="0" borderId="8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0" fillId="0" borderId="9" xfId="0" applyBorder="1"/>
    <xf numFmtId="49" fontId="6" fillId="0" borderId="6" xfId="0" applyNumberFormat="1" applyFont="1" applyBorder="1"/>
    <xf numFmtId="49" fontId="7" fillId="0" borderId="5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4" fillId="0" borderId="14" xfId="0" applyFont="1" applyBorder="1"/>
    <xf numFmtId="0" fontId="14" fillId="2" borderId="1" xfId="0" applyFont="1" applyFill="1" applyBorder="1"/>
    <xf numFmtId="0" fontId="7" fillId="3" borderId="14" xfId="0" applyFont="1" applyFill="1" applyBorder="1"/>
    <xf numFmtId="0" fontId="14" fillId="0" borderId="7" xfId="0" applyFont="1" applyBorder="1" applyAlignment="1">
      <alignment horizontal="center"/>
    </xf>
    <xf numFmtId="0" fontId="14" fillId="0" borderId="13" xfId="0" applyFont="1" applyBorder="1"/>
    <xf numFmtId="0" fontId="19" fillId="2" borderId="7" xfId="0" applyFont="1" applyFill="1" applyBorder="1"/>
    <xf numFmtId="164" fontId="8" fillId="5" borderId="8" xfId="1" applyNumberFormat="1" applyFont="1" applyFill="1" applyBorder="1"/>
    <xf numFmtId="1" fontId="31" fillId="5" borderId="7" xfId="0" applyNumberFormat="1" applyFont="1" applyFill="1" applyBorder="1"/>
    <xf numFmtId="1" fontId="31" fillId="5" borderId="13" xfId="0" applyNumberFormat="1" applyFont="1" applyFill="1" applyBorder="1"/>
    <xf numFmtId="1" fontId="31" fillId="5" borderId="8" xfId="0" applyNumberFormat="1" applyFont="1" applyFill="1" applyBorder="1"/>
    <xf numFmtId="1" fontId="31" fillId="3" borderId="7" xfId="0" applyNumberFormat="1" applyFont="1" applyFill="1" applyBorder="1"/>
    <xf numFmtId="1" fontId="31" fillId="3" borderId="13" xfId="0" applyNumberFormat="1" applyFont="1" applyFill="1" applyBorder="1"/>
    <xf numFmtId="1" fontId="31" fillId="3" borderId="8" xfId="0" applyNumberFormat="1" applyFont="1" applyFill="1" applyBorder="1"/>
    <xf numFmtId="0" fontId="19" fillId="2" borderId="7" xfId="0" applyFont="1" applyFill="1" applyBorder="1" applyAlignment="1">
      <alignment horizontal="left"/>
    </xf>
    <xf numFmtId="2" fontId="31" fillId="3" borderId="7" xfId="0" applyNumberFormat="1" applyFont="1" applyFill="1" applyBorder="1"/>
    <xf numFmtId="2" fontId="31" fillId="3" borderId="13" xfId="0" applyNumberFormat="1" applyFont="1" applyFill="1" applyBorder="1"/>
    <xf numFmtId="2" fontId="31" fillId="3" borderId="8" xfId="0" applyNumberFormat="1" applyFont="1" applyFill="1" applyBorder="1"/>
    <xf numFmtId="0" fontId="18" fillId="0" borderId="13" xfId="0" applyFont="1" applyBorder="1"/>
    <xf numFmtId="49" fontId="6" fillId="0" borderId="12" xfId="0" applyNumberFormat="1" applyFont="1" applyBorder="1"/>
    <xf numFmtId="0" fontId="19" fillId="2" borderId="4" xfId="0" applyFont="1" applyFill="1" applyBorder="1" applyAlignment="1">
      <alignment horizontal="left"/>
    </xf>
    <xf numFmtId="2" fontId="31" fillId="3" borderId="4" xfId="0" applyNumberFormat="1" applyFont="1" applyFill="1" applyBorder="1"/>
    <xf numFmtId="2" fontId="31" fillId="3" borderId="12" xfId="0" applyNumberFormat="1" applyFont="1" applyFill="1" applyBorder="1"/>
    <xf numFmtId="2" fontId="31" fillId="3" borderId="6" xfId="0" applyNumberFormat="1" applyFont="1" applyFill="1" applyBorder="1"/>
    <xf numFmtId="0" fontId="12" fillId="0" borderId="14" xfId="0" applyFont="1" applyBorder="1" applyAlignment="1">
      <alignment horizontal="center"/>
    </xf>
    <xf numFmtId="0" fontId="14" fillId="0" borderId="7" xfId="0" applyFont="1" applyBorder="1"/>
    <xf numFmtId="0" fontId="14" fillId="0" borderId="13" xfId="0" applyFont="1" applyBorder="1" applyAlignment="1">
      <alignment horizontal="center"/>
    </xf>
    <xf numFmtId="164" fontId="8" fillId="5" borderId="0" xfId="1" applyNumberFormat="1" applyFont="1" applyFill="1" applyBorder="1"/>
    <xf numFmtId="164" fontId="8" fillId="5" borderId="13" xfId="1" applyNumberFormat="1" applyFont="1" applyFill="1" applyBorder="1"/>
    <xf numFmtId="0" fontId="31" fillId="3" borderId="7" xfId="0" applyFont="1" applyFill="1" applyBorder="1"/>
    <xf numFmtId="0" fontId="14" fillId="0" borderId="12" xfId="0" applyFont="1" applyBorder="1" applyAlignment="1">
      <alignment horizontal="center"/>
    </xf>
    <xf numFmtId="0" fontId="18" fillId="0" borderId="0" xfId="0" applyFont="1"/>
    <xf numFmtId="0" fontId="14" fillId="0" borderId="4" xfId="0" applyFont="1" applyBorder="1"/>
    <xf numFmtId="0" fontId="8" fillId="2" borderId="5" xfId="0" applyFont="1" applyFill="1" applyBorder="1"/>
    <xf numFmtId="0" fontId="31" fillId="3" borderId="4" xfId="0" applyFont="1" applyFill="1" applyBorder="1"/>
    <xf numFmtId="0" fontId="12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49" fontId="18" fillId="0" borderId="13" xfId="0" applyNumberFormat="1" applyFont="1" applyBorder="1"/>
    <xf numFmtId="0" fontId="14" fillId="0" borderId="12" xfId="0" applyFont="1" applyBorder="1"/>
    <xf numFmtId="0" fontId="32" fillId="0" borderId="0" xfId="0" applyFont="1" applyBorder="1"/>
    <xf numFmtId="49" fontId="29" fillId="0" borderId="0" xfId="0" applyNumberFormat="1" applyFont="1" applyBorder="1"/>
    <xf numFmtId="0" fontId="29" fillId="2" borderId="0" xfId="0" applyFont="1" applyFill="1" applyBorder="1"/>
    <xf numFmtId="0" fontId="33" fillId="0" borderId="0" xfId="0" applyFont="1"/>
    <xf numFmtId="0" fontId="33" fillId="0" borderId="16" xfId="0" applyFont="1" applyBorder="1" applyAlignment="1">
      <alignment horizontal="left"/>
    </xf>
    <xf numFmtId="0" fontId="33" fillId="0" borderId="17" xfId="0" applyFont="1" applyBorder="1" applyAlignment="1">
      <alignment horizontal="left"/>
    </xf>
    <xf numFmtId="0" fontId="33" fillId="0" borderId="18" xfId="0" applyFont="1" applyBorder="1" applyAlignment="1">
      <alignment horizontal="left"/>
    </xf>
    <xf numFmtId="0" fontId="34" fillId="2" borderId="16" xfId="0" applyFont="1" applyFill="1" applyBorder="1" applyAlignment="1">
      <alignment horizontal="left"/>
    </xf>
    <xf numFmtId="0" fontId="30" fillId="0" borderId="18" xfId="0" applyFont="1" applyBorder="1" applyAlignment="1">
      <alignment horizontal="left"/>
    </xf>
    <xf numFmtId="0" fontId="2" fillId="0" borderId="0" xfId="0" applyFont="1"/>
    <xf numFmtId="0" fontId="5" fillId="6" borderId="2" xfId="0" applyFont="1" applyFill="1" applyBorder="1" applyAlignment="1"/>
    <xf numFmtId="0" fontId="6" fillId="6" borderId="2" xfId="0" applyFont="1" applyFill="1" applyBorder="1"/>
    <xf numFmtId="164" fontId="8" fillId="6" borderId="8" xfId="1" applyNumberFormat="1" applyFont="1" applyFill="1" applyBorder="1"/>
    <xf numFmtId="1" fontId="14" fillId="3" borderId="13" xfId="0" applyNumberFormat="1" applyFont="1" applyFill="1" applyBorder="1"/>
    <xf numFmtId="2" fontId="14" fillId="3" borderId="13" xfId="0" applyNumberFormat="1" applyFont="1" applyFill="1" applyBorder="1"/>
    <xf numFmtId="2" fontId="14" fillId="3" borderId="12" xfId="0" applyNumberFormat="1" applyFont="1" applyFill="1" applyBorder="1"/>
    <xf numFmtId="164" fontId="8" fillId="6" borderId="13" xfId="1" applyNumberFormat="1" applyFont="1" applyFill="1" applyBorder="1"/>
    <xf numFmtId="0" fontId="0" fillId="3" borderId="14" xfId="0" applyFill="1" applyBorder="1"/>
    <xf numFmtId="164" fontId="8" fillId="3" borderId="14" xfId="1" applyNumberFormat="1" applyFont="1" applyFill="1" applyBorder="1"/>
    <xf numFmtId="3" fontId="4" fillId="3" borderId="3" xfId="0" applyNumberFormat="1" applyFont="1" applyFill="1" applyBorder="1" applyAlignment="1">
      <alignment vertical="top"/>
    </xf>
    <xf numFmtId="0" fontId="8" fillId="3" borderId="5" xfId="0" applyFont="1" applyFill="1" applyBorder="1"/>
    <xf numFmtId="0" fontId="14" fillId="3" borderId="0" xfId="0" applyFont="1" applyFill="1"/>
    <xf numFmtId="0" fontId="26" fillId="3" borderId="0" xfId="0" applyFont="1" applyFill="1"/>
    <xf numFmtId="0" fontId="25" fillId="3" borderId="0" xfId="0" applyFont="1" applyFill="1" applyBorder="1"/>
    <xf numFmtId="0" fontId="0" fillId="0" borderId="14" xfId="0" applyBorder="1"/>
    <xf numFmtId="0" fontId="29" fillId="3" borderId="10" xfId="0" applyFont="1" applyFill="1" applyBorder="1"/>
    <xf numFmtId="0" fontId="30" fillId="3" borderId="10" xfId="0" applyFont="1" applyFill="1" applyBorder="1"/>
    <xf numFmtId="0" fontId="33" fillId="0" borderId="0" xfId="0" applyFont="1" applyBorder="1" applyAlignment="1">
      <alignment vertical="center"/>
    </xf>
    <xf numFmtId="16" fontId="4" fillId="2" borderId="0" xfId="0" applyNumberFormat="1" applyFont="1" applyFill="1" applyBorder="1"/>
    <xf numFmtId="0" fontId="5" fillId="3" borderId="0" xfId="0" applyFont="1" applyFill="1" applyBorder="1" applyAlignment="1"/>
    <xf numFmtId="0" fontId="0" fillId="6" borderId="2" xfId="0" applyFill="1" applyBorder="1"/>
    <xf numFmtId="0" fontId="6" fillId="7" borderId="0" xfId="0" applyFont="1" applyFill="1" applyBorder="1"/>
    <xf numFmtId="0" fontId="0" fillId="7" borderId="0" xfId="0" applyFill="1" applyBorder="1"/>
    <xf numFmtId="3" fontId="4" fillId="7" borderId="14" xfId="0" applyNumberFormat="1" applyFont="1" applyFill="1" applyBorder="1" applyAlignment="1">
      <alignment vertical="top"/>
    </xf>
    <xf numFmtId="164" fontId="8" fillId="7" borderId="8" xfId="1" applyNumberFormat="1" applyFont="1" applyFill="1" applyBorder="1"/>
    <xf numFmtId="0" fontId="17" fillId="0" borderId="0" xfId="0" applyFont="1" applyBorder="1" applyAlignment="1">
      <alignment horizontal="left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167" fontId="8" fillId="3" borderId="8" xfId="1" applyNumberFormat="1" applyFont="1" applyFill="1" applyBorder="1"/>
    <xf numFmtId="1" fontId="8" fillId="3" borderId="8" xfId="1" applyNumberFormat="1" applyFont="1" applyFill="1" applyBorder="1"/>
    <xf numFmtId="1" fontId="8" fillId="3" borderId="0" xfId="1" applyNumberFormat="1" applyFont="1" applyFill="1" applyBorder="1"/>
    <xf numFmtId="1" fontId="8" fillId="3" borderId="13" xfId="1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0</xdr:col>
      <xdr:colOff>450850</xdr:colOff>
      <xdr:row>2</xdr:row>
      <xdr:rowOff>161925</xdr:rowOff>
    </xdr:to>
    <xdr:pic>
      <xdr:nvPicPr>
        <xdr:cNvPr id="2" name="Picture 1" descr="C:\Documents and Settings\leifj\Mine dokumenter\002 Industri Energi\LOGO ie\ie_logo_web_uten_teks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0"/>
          <a:ext cx="419100" cy="564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352425</xdr:colOff>
      <xdr:row>2</xdr:row>
      <xdr:rowOff>57150</xdr:rowOff>
    </xdr:to>
    <xdr:pic>
      <xdr:nvPicPr>
        <xdr:cNvPr id="2" name="Picture 1" descr="C:\Documents and Settings\leifj\Mine dokumenter\002 Industri Energi\LOGO ie\ie_logo_web_uten_teks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52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352425</xdr:colOff>
      <xdr:row>2</xdr:row>
      <xdr:rowOff>57150</xdr:rowOff>
    </xdr:to>
    <xdr:pic>
      <xdr:nvPicPr>
        <xdr:cNvPr id="2" name="Picture 1" descr="C:\Documents and Settings\leifj\Mine dokumenter\002 Industri Energi\LOGO ie\ie_logo_web_uten_teks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52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90" zoomScaleNormal="90" workbookViewId="0">
      <selection activeCell="C19" sqref="C19"/>
    </sheetView>
  </sheetViews>
  <sheetFormatPr baseColWidth="10" defaultRowHeight="14.4" x14ac:dyDescent="0.3"/>
  <cols>
    <col min="1" max="1" width="6.88671875" customWidth="1"/>
    <col min="2" max="2" width="22.88671875" customWidth="1"/>
    <col min="3" max="3" width="16.33203125" customWidth="1"/>
    <col min="4" max="9" width="13.88671875" customWidth="1"/>
    <col min="10" max="10" width="12" customWidth="1"/>
    <col min="11" max="11" width="13.44140625" customWidth="1"/>
    <col min="12" max="12" width="13.88671875" customWidth="1"/>
    <col min="13" max="14" width="13.109375" customWidth="1"/>
    <col min="257" max="257" width="6.88671875" customWidth="1"/>
    <col min="258" max="258" width="22.44140625" customWidth="1"/>
    <col min="259" max="259" width="16.33203125" customWidth="1"/>
    <col min="260" max="265" width="13.88671875" customWidth="1"/>
    <col min="266" max="266" width="12" customWidth="1"/>
    <col min="267" max="267" width="13.44140625" customWidth="1"/>
    <col min="268" max="268" width="13.88671875" customWidth="1"/>
    <col min="269" max="270" width="13.109375" customWidth="1"/>
    <col min="513" max="513" width="6.88671875" customWidth="1"/>
    <col min="514" max="514" width="22.44140625" customWidth="1"/>
    <col min="515" max="515" width="16.33203125" customWidth="1"/>
    <col min="516" max="521" width="13.88671875" customWidth="1"/>
    <col min="522" max="522" width="12" customWidth="1"/>
    <col min="523" max="523" width="13.44140625" customWidth="1"/>
    <col min="524" max="524" width="13.88671875" customWidth="1"/>
    <col min="525" max="526" width="13.109375" customWidth="1"/>
    <col min="769" max="769" width="6.88671875" customWidth="1"/>
    <col min="770" max="770" width="22.44140625" customWidth="1"/>
    <col min="771" max="771" width="16.33203125" customWidth="1"/>
    <col min="772" max="777" width="13.88671875" customWidth="1"/>
    <col min="778" max="778" width="12" customWidth="1"/>
    <col min="779" max="779" width="13.44140625" customWidth="1"/>
    <col min="780" max="780" width="13.88671875" customWidth="1"/>
    <col min="781" max="782" width="13.109375" customWidth="1"/>
    <col min="1025" max="1025" width="6.88671875" customWidth="1"/>
    <col min="1026" max="1026" width="22.44140625" customWidth="1"/>
    <col min="1027" max="1027" width="16.33203125" customWidth="1"/>
    <col min="1028" max="1033" width="13.88671875" customWidth="1"/>
    <col min="1034" max="1034" width="12" customWidth="1"/>
    <col min="1035" max="1035" width="13.44140625" customWidth="1"/>
    <col min="1036" max="1036" width="13.88671875" customWidth="1"/>
    <col min="1037" max="1038" width="13.109375" customWidth="1"/>
    <col min="1281" max="1281" width="6.88671875" customWidth="1"/>
    <col min="1282" max="1282" width="22.44140625" customWidth="1"/>
    <col min="1283" max="1283" width="16.33203125" customWidth="1"/>
    <col min="1284" max="1289" width="13.88671875" customWidth="1"/>
    <col min="1290" max="1290" width="12" customWidth="1"/>
    <col min="1291" max="1291" width="13.44140625" customWidth="1"/>
    <col min="1292" max="1292" width="13.88671875" customWidth="1"/>
    <col min="1293" max="1294" width="13.109375" customWidth="1"/>
    <col min="1537" max="1537" width="6.88671875" customWidth="1"/>
    <col min="1538" max="1538" width="22.44140625" customWidth="1"/>
    <col min="1539" max="1539" width="16.33203125" customWidth="1"/>
    <col min="1540" max="1545" width="13.88671875" customWidth="1"/>
    <col min="1546" max="1546" width="12" customWidth="1"/>
    <col min="1547" max="1547" width="13.44140625" customWidth="1"/>
    <col min="1548" max="1548" width="13.88671875" customWidth="1"/>
    <col min="1549" max="1550" width="13.109375" customWidth="1"/>
    <col min="1793" max="1793" width="6.88671875" customWidth="1"/>
    <col min="1794" max="1794" width="22.44140625" customWidth="1"/>
    <col min="1795" max="1795" width="16.33203125" customWidth="1"/>
    <col min="1796" max="1801" width="13.88671875" customWidth="1"/>
    <col min="1802" max="1802" width="12" customWidth="1"/>
    <col min="1803" max="1803" width="13.44140625" customWidth="1"/>
    <col min="1804" max="1804" width="13.88671875" customWidth="1"/>
    <col min="1805" max="1806" width="13.109375" customWidth="1"/>
    <col min="2049" max="2049" width="6.88671875" customWidth="1"/>
    <col min="2050" max="2050" width="22.44140625" customWidth="1"/>
    <col min="2051" max="2051" width="16.33203125" customWidth="1"/>
    <col min="2052" max="2057" width="13.88671875" customWidth="1"/>
    <col min="2058" max="2058" width="12" customWidth="1"/>
    <col min="2059" max="2059" width="13.44140625" customWidth="1"/>
    <col min="2060" max="2060" width="13.88671875" customWidth="1"/>
    <col min="2061" max="2062" width="13.109375" customWidth="1"/>
    <col min="2305" max="2305" width="6.88671875" customWidth="1"/>
    <col min="2306" max="2306" width="22.44140625" customWidth="1"/>
    <col min="2307" max="2307" width="16.33203125" customWidth="1"/>
    <col min="2308" max="2313" width="13.88671875" customWidth="1"/>
    <col min="2314" max="2314" width="12" customWidth="1"/>
    <col min="2315" max="2315" width="13.44140625" customWidth="1"/>
    <col min="2316" max="2316" width="13.88671875" customWidth="1"/>
    <col min="2317" max="2318" width="13.109375" customWidth="1"/>
    <col min="2561" max="2561" width="6.88671875" customWidth="1"/>
    <col min="2562" max="2562" width="22.44140625" customWidth="1"/>
    <col min="2563" max="2563" width="16.33203125" customWidth="1"/>
    <col min="2564" max="2569" width="13.88671875" customWidth="1"/>
    <col min="2570" max="2570" width="12" customWidth="1"/>
    <col min="2571" max="2571" width="13.44140625" customWidth="1"/>
    <col min="2572" max="2572" width="13.88671875" customWidth="1"/>
    <col min="2573" max="2574" width="13.109375" customWidth="1"/>
    <col min="2817" max="2817" width="6.88671875" customWidth="1"/>
    <col min="2818" max="2818" width="22.44140625" customWidth="1"/>
    <col min="2819" max="2819" width="16.33203125" customWidth="1"/>
    <col min="2820" max="2825" width="13.88671875" customWidth="1"/>
    <col min="2826" max="2826" width="12" customWidth="1"/>
    <col min="2827" max="2827" width="13.44140625" customWidth="1"/>
    <col min="2828" max="2828" width="13.88671875" customWidth="1"/>
    <col min="2829" max="2830" width="13.109375" customWidth="1"/>
    <col min="3073" max="3073" width="6.88671875" customWidth="1"/>
    <col min="3074" max="3074" width="22.44140625" customWidth="1"/>
    <col min="3075" max="3075" width="16.33203125" customWidth="1"/>
    <col min="3076" max="3081" width="13.88671875" customWidth="1"/>
    <col min="3082" max="3082" width="12" customWidth="1"/>
    <col min="3083" max="3083" width="13.44140625" customWidth="1"/>
    <col min="3084" max="3084" width="13.88671875" customWidth="1"/>
    <col min="3085" max="3086" width="13.109375" customWidth="1"/>
    <col min="3329" max="3329" width="6.88671875" customWidth="1"/>
    <col min="3330" max="3330" width="22.44140625" customWidth="1"/>
    <col min="3331" max="3331" width="16.33203125" customWidth="1"/>
    <col min="3332" max="3337" width="13.88671875" customWidth="1"/>
    <col min="3338" max="3338" width="12" customWidth="1"/>
    <col min="3339" max="3339" width="13.44140625" customWidth="1"/>
    <col min="3340" max="3340" width="13.88671875" customWidth="1"/>
    <col min="3341" max="3342" width="13.109375" customWidth="1"/>
    <col min="3585" max="3585" width="6.88671875" customWidth="1"/>
    <col min="3586" max="3586" width="22.44140625" customWidth="1"/>
    <col min="3587" max="3587" width="16.33203125" customWidth="1"/>
    <col min="3588" max="3593" width="13.88671875" customWidth="1"/>
    <col min="3594" max="3594" width="12" customWidth="1"/>
    <col min="3595" max="3595" width="13.44140625" customWidth="1"/>
    <col min="3596" max="3596" width="13.88671875" customWidth="1"/>
    <col min="3597" max="3598" width="13.109375" customWidth="1"/>
    <col min="3841" max="3841" width="6.88671875" customWidth="1"/>
    <col min="3842" max="3842" width="22.44140625" customWidth="1"/>
    <col min="3843" max="3843" width="16.33203125" customWidth="1"/>
    <col min="3844" max="3849" width="13.88671875" customWidth="1"/>
    <col min="3850" max="3850" width="12" customWidth="1"/>
    <col min="3851" max="3851" width="13.44140625" customWidth="1"/>
    <col min="3852" max="3852" width="13.88671875" customWidth="1"/>
    <col min="3853" max="3854" width="13.109375" customWidth="1"/>
    <col min="4097" max="4097" width="6.88671875" customWidth="1"/>
    <col min="4098" max="4098" width="22.44140625" customWidth="1"/>
    <col min="4099" max="4099" width="16.33203125" customWidth="1"/>
    <col min="4100" max="4105" width="13.88671875" customWidth="1"/>
    <col min="4106" max="4106" width="12" customWidth="1"/>
    <col min="4107" max="4107" width="13.44140625" customWidth="1"/>
    <col min="4108" max="4108" width="13.88671875" customWidth="1"/>
    <col min="4109" max="4110" width="13.109375" customWidth="1"/>
    <col min="4353" max="4353" width="6.88671875" customWidth="1"/>
    <col min="4354" max="4354" width="22.44140625" customWidth="1"/>
    <col min="4355" max="4355" width="16.33203125" customWidth="1"/>
    <col min="4356" max="4361" width="13.88671875" customWidth="1"/>
    <col min="4362" max="4362" width="12" customWidth="1"/>
    <col min="4363" max="4363" width="13.44140625" customWidth="1"/>
    <col min="4364" max="4364" width="13.88671875" customWidth="1"/>
    <col min="4365" max="4366" width="13.109375" customWidth="1"/>
    <col min="4609" max="4609" width="6.88671875" customWidth="1"/>
    <col min="4610" max="4610" width="22.44140625" customWidth="1"/>
    <col min="4611" max="4611" width="16.33203125" customWidth="1"/>
    <col min="4612" max="4617" width="13.88671875" customWidth="1"/>
    <col min="4618" max="4618" width="12" customWidth="1"/>
    <col min="4619" max="4619" width="13.44140625" customWidth="1"/>
    <col min="4620" max="4620" width="13.88671875" customWidth="1"/>
    <col min="4621" max="4622" width="13.109375" customWidth="1"/>
    <col min="4865" max="4865" width="6.88671875" customWidth="1"/>
    <col min="4866" max="4866" width="22.44140625" customWidth="1"/>
    <col min="4867" max="4867" width="16.33203125" customWidth="1"/>
    <col min="4868" max="4873" width="13.88671875" customWidth="1"/>
    <col min="4874" max="4874" width="12" customWidth="1"/>
    <col min="4875" max="4875" width="13.44140625" customWidth="1"/>
    <col min="4876" max="4876" width="13.88671875" customWidth="1"/>
    <col min="4877" max="4878" width="13.109375" customWidth="1"/>
    <col min="5121" max="5121" width="6.88671875" customWidth="1"/>
    <col min="5122" max="5122" width="22.44140625" customWidth="1"/>
    <col min="5123" max="5123" width="16.33203125" customWidth="1"/>
    <col min="5124" max="5129" width="13.88671875" customWidth="1"/>
    <col min="5130" max="5130" width="12" customWidth="1"/>
    <col min="5131" max="5131" width="13.44140625" customWidth="1"/>
    <col min="5132" max="5132" width="13.88671875" customWidth="1"/>
    <col min="5133" max="5134" width="13.109375" customWidth="1"/>
    <col min="5377" max="5377" width="6.88671875" customWidth="1"/>
    <col min="5378" max="5378" width="22.44140625" customWidth="1"/>
    <col min="5379" max="5379" width="16.33203125" customWidth="1"/>
    <col min="5380" max="5385" width="13.88671875" customWidth="1"/>
    <col min="5386" max="5386" width="12" customWidth="1"/>
    <col min="5387" max="5387" width="13.44140625" customWidth="1"/>
    <col min="5388" max="5388" width="13.88671875" customWidth="1"/>
    <col min="5389" max="5390" width="13.109375" customWidth="1"/>
    <col min="5633" max="5633" width="6.88671875" customWidth="1"/>
    <col min="5634" max="5634" width="22.44140625" customWidth="1"/>
    <col min="5635" max="5635" width="16.33203125" customWidth="1"/>
    <col min="5636" max="5641" width="13.88671875" customWidth="1"/>
    <col min="5642" max="5642" width="12" customWidth="1"/>
    <col min="5643" max="5643" width="13.44140625" customWidth="1"/>
    <col min="5644" max="5644" width="13.88671875" customWidth="1"/>
    <col min="5645" max="5646" width="13.109375" customWidth="1"/>
    <col min="5889" max="5889" width="6.88671875" customWidth="1"/>
    <col min="5890" max="5890" width="22.44140625" customWidth="1"/>
    <col min="5891" max="5891" width="16.33203125" customWidth="1"/>
    <col min="5892" max="5897" width="13.88671875" customWidth="1"/>
    <col min="5898" max="5898" width="12" customWidth="1"/>
    <col min="5899" max="5899" width="13.44140625" customWidth="1"/>
    <col min="5900" max="5900" width="13.88671875" customWidth="1"/>
    <col min="5901" max="5902" width="13.109375" customWidth="1"/>
    <col min="6145" max="6145" width="6.88671875" customWidth="1"/>
    <col min="6146" max="6146" width="22.44140625" customWidth="1"/>
    <col min="6147" max="6147" width="16.33203125" customWidth="1"/>
    <col min="6148" max="6153" width="13.88671875" customWidth="1"/>
    <col min="6154" max="6154" width="12" customWidth="1"/>
    <col min="6155" max="6155" width="13.44140625" customWidth="1"/>
    <col min="6156" max="6156" width="13.88671875" customWidth="1"/>
    <col min="6157" max="6158" width="13.109375" customWidth="1"/>
    <col min="6401" max="6401" width="6.88671875" customWidth="1"/>
    <col min="6402" max="6402" width="22.44140625" customWidth="1"/>
    <col min="6403" max="6403" width="16.33203125" customWidth="1"/>
    <col min="6404" max="6409" width="13.88671875" customWidth="1"/>
    <col min="6410" max="6410" width="12" customWidth="1"/>
    <col min="6411" max="6411" width="13.44140625" customWidth="1"/>
    <col min="6412" max="6412" width="13.88671875" customWidth="1"/>
    <col min="6413" max="6414" width="13.109375" customWidth="1"/>
    <col min="6657" max="6657" width="6.88671875" customWidth="1"/>
    <col min="6658" max="6658" width="22.44140625" customWidth="1"/>
    <col min="6659" max="6659" width="16.33203125" customWidth="1"/>
    <col min="6660" max="6665" width="13.88671875" customWidth="1"/>
    <col min="6666" max="6666" width="12" customWidth="1"/>
    <col min="6667" max="6667" width="13.44140625" customWidth="1"/>
    <col min="6668" max="6668" width="13.88671875" customWidth="1"/>
    <col min="6669" max="6670" width="13.109375" customWidth="1"/>
    <col min="6913" max="6913" width="6.88671875" customWidth="1"/>
    <col min="6914" max="6914" width="22.44140625" customWidth="1"/>
    <col min="6915" max="6915" width="16.33203125" customWidth="1"/>
    <col min="6916" max="6921" width="13.88671875" customWidth="1"/>
    <col min="6922" max="6922" width="12" customWidth="1"/>
    <col min="6923" max="6923" width="13.44140625" customWidth="1"/>
    <col min="6924" max="6924" width="13.88671875" customWidth="1"/>
    <col min="6925" max="6926" width="13.109375" customWidth="1"/>
    <col min="7169" max="7169" width="6.88671875" customWidth="1"/>
    <col min="7170" max="7170" width="22.44140625" customWidth="1"/>
    <col min="7171" max="7171" width="16.33203125" customWidth="1"/>
    <col min="7172" max="7177" width="13.88671875" customWidth="1"/>
    <col min="7178" max="7178" width="12" customWidth="1"/>
    <col min="7179" max="7179" width="13.44140625" customWidth="1"/>
    <col min="7180" max="7180" width="13.88671875" customWidth="1"/>
    <col min="7181" max="7182" width="13.109375" customWidth="1"/>
    <col min="7425" max="7425" width="6.88671875" customWidth="1"/>
    <col min="7426" max="7426" width="22.44140625" customWidth="1"/>
    <col min="7427" max="7427" width="16.33203125" customWidth="1"/>
    <col min="7428" max="7433" width="13.88671875" customWidth="1"/>
    <col min="7434" max="7434" width="12" customWidth="1"/>
    <col min="7435" max="7435" width="13.44140625" customWidth="1"/>
    <col min="7436" max="7436" width="13.88671875" customWidth="1"/>
    <col min="7437" max="7438" width="13.109375" customWidth="1"/>
    <col min="7681" max="7681" width="6.88671875" customWidth="1"/>
    <col min="7682" max="7682" width="22.44140625" customWidth="1"/>
    <col min="7683" max="7683" width="16.33203125" customWidth="1"/>
    <col min="7684" max="7689" width="13.88671875" customWidth="1"/>
    <col min="7690" max="7690" width="12" customWidth="1"/>
    <col min="7691" max="7691" width="13.44140625" customWidth="1"/>
    <col min="7692" max="7692" width="13.88671875" customWidth="1"/>
    <col min="7693" max="7694" width="13.109375" customWidth="1"/>
    <col min="7937" max="7937" width="6.88671875" customWidth="1"/>
    <col min="7938" max="7938" width="22.44140625" customWidth="1"/>
    <col min="7939" max="7939" width="16.33203125" customWidth="1"/>
    <col min="7940" max="7945" width="13.88671875" customWidth="1"/>
    <col min="7946" max="7946" width="12" customWidth="1"/>
    <col min="7947" max="7947" width="13.44140625" customWidth="1"/>
    <col min="7948" max="7948" width="13.88671875" customWidth="1"/>
    <col min="7949" max="7950" width="13.109375" customWidth="1"/>
    <col min="8193" max="8193" width="6.88671875" customWidth="1"/>
    <col min="8194" max="8194" width="22.44140625" customWidth="1"/>
    <col min="8195" max="8195" width="16.33203125" customWidth="1"/>
    <col min="8196" max="8201" width="13.88671875" customWidth="1"/>
    <col min="8202" max="8202" width="12" customWidth="1"/>
    <col min="8203" max="8203" width="13.44140625" customWidth="1"/>
    <col min="8204" max="8204" width="13.88671875" customWidth="1"/>
    <col min="8205" max="8206" width="13.109375" customWidth="1"/>
    <col min="8449" max="8449" width="6.88671875" customWidth="1"/>
    <col min="8450" max="8450" width="22.44140625" customWidth="1"/>
    <col min="8451" max="8451" width="16.33203125" customWidth="1"/>
    <col min="8452" max="8457" width="13.88671875" customWidth="1"/>
    <col min="8458" max="8458" width="12" customWidth="1"/>
    <col min="8459" max="8459" width="13.44140625" customWidth="1"/>
    <col min="8460" max="8460" width="13.88671875" customWidth="1"/>
    <col min="8461" max="8462" width="13.109375" customWidth="1"/>
    <col min="8705" max="8705" width="6.88671875" customWidth="1"/>
    <col min="8706" max="8706" width="22.44140625" customWidth="1"/>
    <col min="8707" max="8707" width="16.33203125" customWidth="1"/>
    <col min="8708" max="8713" width="13.88671875" customWidth="1"/>
    <col min="8714" max="8714" width="12" customWidth="1"/>
    <col min="8715" max="8715" width="13.44140625" customWidth="1"/>
    <col min="8716" max="8716" width="13.88671875" customWidth="1"/>
    <col min="8717" max="8718" width="13.109375" customWidth="1"/>
    <col min="8961" max="8961" width="6.88671875" customWidth="1"/>
    <col min="8962" max="8962" width="22.44140625" customWidth="1"/>
    <col min="8963" max="8963" width="16.33203125" customWidth="1"/>
    <col min="8964" max="8969" width="13.88671875" customWidth="1"/>
    <col min="8970" max="8970" width="12" customWidth="1"/>
    <col min="8971" max="8971" width="13.44140625" customWidth="1"/>
    <col min="8972" max="8972" width="13.88671875" customWidth="1"/>
    <col min="8973" max="8974" width="13.109375" customWidth="1"/>
    <col min="9217" max="9217" width="6.88671875" customWidth="1"/>
    <col min="9218" max="9218" width="22.44140625" customWidth="1"/>
    <col min="9219" max="9219" width="16.33203125" customWidth="1"/>
    <col min="9220" max="9225" width="13.88671875" customWidth="1"/>
    <col min="9226" max="9226" width="12" customWidth="1"/>
    <col min="9227" max="9227" width="13.44140625" customWidth="1"/>
    <col min="9228" max="9228" width="13.88671875" customWidth="1"/>
    <col min="9229" max="9230" width="13.109375" customWidth="1"/>
    <col min="9473" max="9473" width="6.88671875" customWidth="1"/>
    <col min="9474" max="9474" width="22.44140625" customWidth="1"/>
    <col min="9475" max="9475" width="16.33203125" customWidth="1"/>
    <col min="9476" max="9481" width="13.88671875" customWidth="1"/>
    <col min="9482" max="9482" width="12" customWidth="1"/>
    <col min="9483" max="9483" width="13.44140625" customWidth="1"/>
    <col min="9484" max="9484" width="13.88671875" customWidth="1"/>
    <col min="9485" max="9486" width="13.109375" customWidth="1"/>
    <col min="9729" max="9729" width="6.88671875" customWidth="1"/>
    <col min="9730" max="9730" width="22.44140625" customWidth="1"/>
    <col min="9731" max="9731" width="16.33203125" customWidth="1"/>
    <col min="9732" max="9737" width="13.88671875" customWidth="1"/>
    <col min="9738" max="9738" width="12" customWidth="1"/>
    <col min="9739" max="9739" width="13.44140625" customWidth="1"/>
    <col min="9740" max="9740" width="13.88671875" customWidth="1"/>
    <col min="9741" max="9742" width="13.109375" customWidth="1"/>
    <col min="9985" max="9985" width="6.88671875" customWidth="1"/>
    <col min="9986" max="9986" width="22.44140625" customWidth="1"/>
    <col min="9987" max="9987" width="16.33203125" customWidth="1"/>
    <col min="9988" max="9993" width="13.88671875" customWidth="1"/>
    <col min="9994" max="9994" width="12" customWidth="1"/>
    <col min="9995" max="9995" width="13.44140625" customWidth="1"/>
    <col min="9996" max="9996" width="13.88671875" customWidth="1"/>
    <col min="9997" max="9998" width="13.109375" customWidth="1"/>
    <col min="10241" max="10241" width="6.88671875" customWidth="1"/>
    <col min="10242" max="10242" width="22.44140625" customWidth="1"/>
    <col min="10243" max="10243" width="16.33203125" customWidth="1"/>
    <col min="10244" max="10249" width="13.88671875" customWidth="1"/>
    <col min="10250" max="10250" width="12" customWidth="1"/>
    <col min="10251" max="10251" width="13.44140625" customWidth="1"/>
    <col min="10252" max="10252" width="13.88671875" customWidth="1"/>
    <col min="10253" max="10254" width="13.109375" customWidth="1"/>
    <col min="10497" max="10497" width="6.88671875" customWidth="1"/>
    <col min="10498" max="10498" width="22.44140625" customWidth="1"/>
    <col min="10499" max="10499" width="16.33203125" customWidth="1"/>
    <col min="10500" max="10505" width="13.88671875" customWidth="1"/>
    <col min="10506" max="10506" width="12" customWidth="1"/>
    <col min="10507" max="10507" width="13.44140625" customWidth="1"/>
    <col min="10508" max="10508" width="13.88671875" customWidth="1"/>
    <col min="10509" max="10510" width="13.109375" customWidth="1"/>
    <col min="10753" max="10753" width="6.88671875" customWidth="1"/>
    <col min="10754" max="10754" width="22.44140625" customWidth="1"/>
    <col min="10755" max="10755" width="16.33203125" customWidth="1"/>
    <col min="10756" max="10761" width="13.88671875" customWidth="1"/>
    <col min="10762" max="10762" width="12" customWidth="1"/>
    <col min="10763" max="10763" width="13.44140625" customWidth="1"/>
    <col min="10764" max="10764" width="13.88671875" customWidth="1"/>
    <col min="10765" max="10766" width="13.109375" customWidth="1"/>
    <col min="11009" max="11009" width="6.88671875" customWidth="1"/>
    <col min="11010" max="11010" width="22.44140625" customWidth="1"/>
    <col min="11011" max="11011" width="16.33203125" customWidth="1"/>
    <col min="11012" max="11017" width="13.88671875" customWidth="1"/>
    <col min="11018" max="11018" width="12" customWidth="1"/>
    <col min="11019" max="11019" width="13.44140625" customWidth="1"/>
    <col min="11020" max="11020" width="13.88671875" customWidth="1"/>
    <col min="11021" max="11022" width="13.109375" customWidth="1"/>
    <col min="11265" max="11265" width="6.88671875" customWidth="1"/>
    <col min="11266" max="11266" width="22.44140625" customWidth="1"/>
    <col min="11267" max="11267" width="16.33203125" customWidth="1"/>
    <col min="11268" max="11273" width="13.88671875" customWidth="1"/>
    <col min="11274" max="11274" width="12" customWidth="1"/>
    <col min="11275" max="11275" width="13.44140625" customWidth="1"/>
    <col min="11276" max="11276" width="13.88671875" customWidth="1"/>
    <col min="11277" max="11278" width="13.109375" customWidth="1"/>
    <col min="11521" max="11521" width="6.88671875" customWidth="1"/>
    <col min="11522" max="11522" width="22.44140625" customWidth="1"/>
    <col min="11523" max="11523" width="16.33203125" customWidth="1"/>
    <col min="11524" max="11529" width="13.88671875" customWidth="1"/>
    <col min="11530" max="11530" width="12" customWidth="1"/>
    <col min="11531" max="11531" width="13.44140625" customWidth="1"/>
    <col min="11532" max="11532" width="13.88671875" customWidth="1"/>
    <col min="11533" max="11534" width="13.109375" customWidth="1"/>
    <col min="11777" max="11777" width="6.88671875" customWidth="1"/>
    <col min="11778" max="11778" width="22.44140625" customWidth="1"/>
    <col min="11779" max="11779" width="16.33203125" customWidth="1"/>
    <col min="11780" max="11785" width="13.88671875" customWidth="1"/>
    <col min="11786" max="11786" width="12" customWidth="1"/>
    <col min="11787" max="11787" width="13.44140625" customWidth="1"/>
    <col min="11788" max="11788" width="13.88671875" customWidth="1"/>
    <col min="11789" max="11790" width="13.109375" customWidth="1"/>
    <col min="12033" max="12033" width="6.88671875" customWidth="1"/>
    <col min="12034" max="12034" width="22.44140625" customWidth="1"/>
    <col min="12035" max="12035" width="16.33203125" customWidth="1"/>
    <col min="12036" max="12041" width="13.88671875" customWidth="1"/>
    <col min="12042" max="12042" width="12" customWidth="1"/>
    <col min="12043" max="12043" width="13.44140625" customWidth="1"/>
    <col min="12044" max="12044" width="13.88671875" customWidth="1"/>
    <col min="12045" max="12046" width="13.109375" customWidth="1"/>
    <col min="12289" max="12289" width="6.88671875" customWidth="1"/>
    <col min="12290" max="12290" width="22.44140625" customWidth="1"/>
    <col min="12291" max="12291" width="16.33203125" customWidth="1"/>
    <col min="12292" max="12297" width="13.88671875" customWidth="1"/>
    <col min="12298" max="12298" width="12" customWidth="1"/>
    <col min="12299" max="12299" width="13.44140625" customWidth="1"/>
    <col min="12300" max="12300" width="13.88671875" customWidth="1"/>
    <col min="12301" max="12302" width="13.109375" customWidth="1"/>
    <col min="12545" max="12545" width="6.88671875" customWidth="1"/>
    <col min="12546" max="12546" width="22.44140625" customWidth="1"/>
    <col min="12547" max="12547" width="16.33203125" customWidth="1"/>
    <col min="12548" max="12553" width="13.88671875" customWidth="1"/>
    <col min="12554" max="12554" width="12" customWidth="1"/>
    <col min="12555" max="12555" width="13.44140625" customWidth="1"/>
    <col min="12556" max="12556" width="13.88671875" customWidth="1"/>
    <col min="12557" max="12558" width="13.109375" customWidth="1"/>
    <col min="12801" max="12801" width="6.88671875" customWidth="1"/>
    <col min="12802" max="12802" width="22.44140625" customWidth="1"/>
    <col min="12803" max="12803" width="16.33203125" customWidth="1"/>
    <col min="12804" max="12809" width="13.88671875" customWidth="1"/>
    <col min="12810" max="12810" width="12" customWidth="1"/>
    <col min="12811" max="12811" width="13.44140625" customWidth="1"/>
    <col min="12812" max="12812" width="13.88671875" customWidth="1"/>
    <col min="12813" max="12814" width="13.109375" customWidth="1"/>
    <col min="13057" max="13057" width="6.88671875" customWidth="1"/>
    <col min="13058" max="13058" width="22.44140625" customWidth="1"/>
    <col min="13059" max="13059" width="16.33203125" customWidth="1"/>
    <col min="13060" max="13065" width="13.88671875" customWidth="1"/>
    <col min="13066" max="13066" width="12" customWidth="1"/>
    <col min="13067" max="13067" width="13.44140625" customWidth="1"/>
    <col min="13068" max="13068" width="13.88671875" customWidth="1"/>
    <col min="13069" max="13070" width="13.109375" customWidth="1"/>
    <col min="13313" max="13313" width="6.88671875" customWidth="1"/>
    <col min="13314" max="13314" width="22.44140625" customWidth="1"/>
    <col min="13315" max="13315" width="16.33203125" customWidth="1"/>
    <col min="13316" max="13321" width="13.88671875" customWidth="1"/>
    <col min="13322" max="13322" width="12" customWidth="1"/>
    <col min="13323" max="13323" width="13.44140625" customWidth="1"/>
    <col min="13324" max="13324" width="13.88671875" customWidth="1"/>
    <col min="13325" max="13326" width="13.109375" customWidth="1"/>
    <col min="13569" max="13569" width="6.88671875" customWidth="1"/>
    <col min="13570" max="13570" width="22.44140625" customWidth="1"/>
    <col min="13571" max="13571" width="16.33203125" customWidth="1"/>
    <col min="13572" max="13577" width="13.88671875" customWidth="1"/>
    <col min="13578" max="13578" width="12" customWidth="1"/>
    <col min="13579" max="13579" width="13.44140625" customWidth="1"/>
    <col min="13580" max="13580" width="13.88671875" customWidth="1"/>
    <col min="13581" max="13582" width="13.109375" customWidth="1"/>
    <col min="13825" max="13825" width="6.88671875" customWidth="1"/>
    <col min="13826" max="13826" width="22.44140625" customWidth="1"/>
    <col min="13827" max="13827" width="16.33203125" customWidth="1"/>
    <col min="13828" max="13833" width="13.88671875" customWidth="1"/>
    <col min="13834" max="13834" width="12" customWidth="1"/>
    <col min="13835" max="13835" width="13.44140625" customWidth="1"/>
    <col min="13836" max="13836" width="13.88671875" customWidth="1"/>
    <col min="13837" max="13838" width="13.109375" customWidth="1"/>
    <col min="14081" max="14081" width="6.88671875" customWidth="1"/>
    <col min="14082" max="14082" width="22.44140625" customWidth="1"/>
    <col min="14083" max="14083" width="16.33203125" customWidth="1"/>
    <col min="14084" max="14089" width="13.88671875" customWidth="1"/>
    <col min="14090" max="14090" width="12" customWidth="1"/>
    <col min="14091" max="14091" width="13.44140625" customWidth="1"/>
    <col min="14092" max="14092" width="13.88671875" customWidth="1"/>
    <col min="14093" max="14094" width="13.109375" customWidth="1"/>
    <col min="14337" max="14337" width="6.88671875" customWidth="1"/>
    <col min="14338" max="14338" width="22.44140625" customWidth="1"/>
    <col min="14339" max="14339" width="16.33203125" customWidth="1"/>
    <col min="14340" max="14345" width="13.88671875" customWidth="1"/>
    <col min="14346" max="14346" width="12" customWidth="1"/>
    <col min="14347" max="14347" width="13.44140625" customWidth="1"/>
    <col min="14348" max="14348" width="13.88671875" customWidth="1"/>
    <col min="14349" max="14350" width="13.109375" customWidth="1"/>
    <col min="14593" max="14593" width="6.88671875" customWidth="1"/>
    <col min="14594" max="14594" width="22.44140625" customWidth="1"/>
    <col min="14595" max="14595" width="16.33203125" customWidth="1"/>
    <col min="14596" max="14601" width="13.88671875" customWidth="1"/>
    <col min="14602" max="14602" width="12" customWidth="1"/>
    <col min="14603" max="14603" width="13.44140625" customWidth="1"/>
    <col min="14604" max="14604" width="13.88671875" customWidth="1"/>
    <col min="14605" max="14606" width="13.109375" customWidth="1"/>
    <col min="14849" max="14849" width="6.88671875" customWidth="1"/>
    <col min="14850" max="14850" width="22.44140625" customWidth="1"/>
    <col min="14851" max="14851" width="16.33203125" customWidth="1"/>
    <col min="14852" max="14857" width="13.88671875" customWidth="1"/>
    <col min="14858" max="14858" width="12" customWidth="1"/>
    <col min="14859" max="14859" width="13.44140625" customWidth="1"/>
    <col min="14860" max="14860" width="13.88671875" customWidth="1"/>
    <col min="14861" max="14862" width="13.109375" customWidth="1"/>
    <col min="15105" max="15105" width="6.88671875" customWidth="1"/>
    <col min="15106" max="15106" width="22.44140625" customWidth="1"/>
    <col min="15107" max="15107" width="16.33203125" customWidth="1"/>
    <col min="15108" max="15113" width="13.88671875" customWidth="1"/>
    <col min="15114" max="15114" width="12" customWidth="1"/>
    <col min="15115" max="15115" width="13.44140625" customWidth="1"/>
    <col min="15116" max="15116" width="13.88671875" customWidth="1"/>
    <col min="15117" max="15118" width="13.109375" customWidth="1"/>
    <col min="15361" max="15361" width="6.88671875" customWidth="1"/>
    <col min="15362" max="15362" width="22.44140625" customWidth="1"/>
    <col min="15363" max="15363" width="16.33203125" customWidth="1"/>
    <col min="15364" max="15369" width="13.88671875" customWidth="1"/>
    <col min="15370" max="15370" width="12" customWidth="1"/>
    <col min="15371" max="15371" width="13.44140625" customWidth="1"/>
    <col min="15372" max="15372" width="13.88671875" customWidth="1"/>
    <col min="15373" max="15374" width="13.109375" customWidth="1"/>
    <col min="15617" max="15617" width="6.88671875" customWidth="1"/>
    <col min="15618" max="15618" width="22.44140625" customWidth="1"/>
    <col min="15619" max="15619" width="16.33203125" customWidth="1"/>
    <col min="15620" max="15625" width="13.88671875" customWidth="1"/>
    <col min="15626" max="15626" width="12" customWidth="1"/>
    <col min="15627" max="15627" width="13.44140625" customWidth="1"/>
    <col min="15628" max="15628" width="13.88671875" customWidth="1"/>
    <col min="15629" max="15630" width="13.109375" customWidth="1"/>
    <col min="15873" max="15873" width="6.88671875" customWidth="1"/>
    <col min="15874" max="15874" width="22.44140625" customWidth="1"/>
    <col min="15875" max="15875" width="16.33203125" customWidth="1"/>
    <col min="15876" max="15881" width="13.88671875" customWidth="1"/>
    <col min="15882" max="15882" width="12" customWidth="1"/>
    <col min="15883" max="15883" width="13.44140625" customWidth="1"/>
    <col min="15884" max="15884" width="13.88671875" customWidth="1"/>
    <col min="15885" max="15886" width="13.109375" customWidth="1"/>
    <col min="16129" max="16129" width="6.88671875" customWidth="1"/>
    <col min="16130" max="16130" width="22.44140625" customWidth="1"/>
    <col min="16131" max="16131" width="16.33203125" customWidth="1"/>
    <col min="16132" max="16137" width="13.88671875" customWidth="1"/>
    <col min="16138" max="16138" width="12" customWidth="1"/>
    <col min="16139" max="16139" width="13.44140625" customWidth="1"/>
    <col min="16140" max="16140" width="13.88671875" customWidth="1"/>
    <col min="16141" max="16142" width="13.109375" customWidth="1"/>
  </cols>
  <sheetData>
    <row r="1" spans="1:14" ht="15.6" x14ac:dyDescent="0.3">
      <c r="A1" s="1"/>
      <c r="B1" s="2" t="s">
        <v>67</v>
      </c>
      <c r="C1" s="3"/>
      <c r="D1" s="4" t="s">
        <v>70</v>
      </c>
      <c r="E1" s="5"/>
      <c r="F1" s="5"/>
      <c r="G1" s="168"/>
      <c r="H1" s="5"/>
      <c r="I1" s="5"/>
      <c r="J1" s="5"/>
      <c r="K1" s="5"/>
      <c r="L1" s="5"/>
      <c r="M1" s="6"/>
      <c r="N1" s="3"/>
    </row>
    <row r="2" spans="1:14" ht="15" thickBot="1" x14ac:dyDescent="0.35">
      <c r="A2" s="7"/>
      <c r="B2" s="8" t="s">
        <v>68</v>
      </c>
      <c r="C2" s="9"/>
      <c r="D2" s="10" t="s">
        <v>69</v>
      </c>
      <c r="E2" s="11"/>
      <c r="F2" s="12"/>
      <c r="G2" s="12"/>
      <c r="H2" s="12"/>
      <c r="I2" s="12"/>
      <c r="K2" s="12"/>
      <c r="L2" s="12"/>
      <c r="M2" s="11"/>
      <c r="N2" s="13"/>
    </row>
    <row r="3" spans="1:14" ht="15.75" thickBot="1" x14ac:dyDescent="0.3">
      <c r="A3" s="14"/>
      <c r="B3" s="15" t="s">
        <v>1</v>
      </c>
      <c r="C3" s="16" t="s">
        <v>2</v>
      </c>
      <c r="D3" s="17"/>
      <c r="E3" s="18"/>
      <c r="F3" s="177" t="s">
        <v>3</v>
      </c>
      <c r="G3" s="177"/>
      <c r="H3" s="177"/>
      <c r="I3" s="177"/>
      <c r="J3" s="177"/>
      <c r="K3" s="177"/>
      <c r="L3" s="177"/>
      <c r="M3" s="19"/>
      <c r="N3" s="20"/>
    </row>
    <row r="4" spans="1:14" ht="15.75" thickBot="1" x14ac:dyDescent="0.3">
      <c r="A4" s="21" t="s">
        <v>4</v>
      </c>
      <c r="B4" s="22"/>
      <c r="C4" s="23"/>
      <c r="D4" s="24">
        <v>1</v>
      </c>
      <c r="E4" s="24">
        <v>2</v>
      </c>
      <c r="F4" s="24">
        <v>3</v>
      </c>
      <c r="G4" s="24">
        <v>4</v>
      </c>
      <c r="H4" s="24">
        <v>5</v>
      </c>
      <c r="I4" s="24">
        <v>6</v>
      </c>
      <c r="J4" s="24">
        <v>7</v>
      </c>
      <c r="K4" s="24">
        <v>8</v>
      </c>
      <c r="L4" s="24">
        <v>9</v>
      </c>
      <c r="M4" s="25">
        <v>10</v>
      </c>
      <c r="N4" s="26">
        <v>11</v>
      </c>
    </row>
    <row r="5" spans="1:14" ht="15.6" x14ac:dyDescent="0.3">
      <c r="A5" s="27" t="s">
        <v>5</v>
      </c>
      <c r="B5" s="28" t="s">
        <v>6</v>
      </c>
      <c r="C5" s="29" t="s">
        <v>7</v>
      </c>
      <c r="D5" s="158"/>
      <c r="E5" s="39"/>
      <c r="F5" s="30"/>
      <c r="G5" s="30">
        <f>523756.8+(523756.8*1.1%)+10000+5733+(545251*4.5%)+10000+5340+12000+12000+5160</f>
        <v>614287.41980000003</v>
      </c>
      <c r="H5" s="30">
        <f>535988.25+(535988.25*1.1%)+10000+5733+(557617*4.5%)+10000+5340+12000+12000+5160</f>
        <v>627209.88575000002</v>
      </c>
      <c r="I5" s="30">
        <f>548219.7+(548219.7*1.1%)+10000+5733+(569983*4.5%)+10000+5340+12000+12000+5160</f>
        <v>640132.35169999988</v>
      </c>
      <c r="J5" s="30">
        <f>560451.15+(560451.15*1.1%)+10000+5733+(582349*4.5%)+10000+5340+12000+12000+5160</f>
        <v>653054.81764999998</v>
      </c>
      <c r="K5" s="31">
        <f>576018.45+(576018.45*1.1%)+10000+5733+(598088*4.5%)+10000+5340+12000+12000+5160</f>
        <v>669501.61294999986</v>
      </c>
      <c r="L5" s="32">
        <f>591018.45+(591018.45*1.1%)+10000+5733+(613253*4.5%)+10000+5340+12000+12000+5160</f>
        <v>685349.03794999991</v>
      </c>
      <c r="M5" s="33">
        <f>606018.45+(606018.45*1.1%)+10000+5733+(628418*4.5%)+10000+5340+12000+12000+5160</f>
        <v>701196.46294999984</v>
      </c>
      <c r="N5" s="34">
        <f>656696+12500+10000+6340+12000+12000+5160</f>
        <v>714696</v>
      </c>
    </row>
    <row r="6" spans="1:14" x14ac:dyDescent="0.3">
      <c r="A6" s="35"/>
      <c r="B6" s="36" t="s">
        <v>8</v>
      </c>
      <c r="C6" s="37"/>
      <c r="D6" s="38"/>
      <c r="E6" s="39"/>
      <c r="F6" s="39"/>
      <c r="G6" s="175" t="s">
        <v>65</v>
      </c>
      <c r="H6" s="39"/>
      <c r="I6" s="39"/>
      <c r="J6" s="39"/>
      <c r="K6" s="39"/>
      <c r="L6" s="40"/>
      <c r="M6" s="41"/>
      <c r="N6" s="42"/>
    </row>
    <row r="7" spans="1:14" ht="15" x14ac:dyDescent="0.25">
      <c r="A7" s="35"/>
      <c r="B7" s="36" t="s">
        <v>9</v>
      </c>
      <c r="C7" s="37"/>
      <c r="D7" s="38"/>
      <c r="E7" s="39"/>
      <c r="F7" s="39"/>
      <c r="G7" s="39"/>
      <c r="H7" s="39"/>
      <c r="I7" s="39"/>
      <c r="J7" s="39"/>
      <c r="K7" s="39"/>
      <c r="L7" s="40"/>
      <c r="M7" s="41"/>
      <c r="N7" s="42"/>
    </row>
    <row r="8" spans="1:14" ht="15" x14ac:dyDescent="0.25">
      <c r="A8" s="35"/>
      <c r="B8" s="36" t="s">
        <v>10</v>
      </c>
      <c r="C8" s="37"/>
      <c r="D8" s="38"/>
      <c r="E8" s="39"/>
      <c r="F8" s="39"/>
      <c r="G8" s="39"/>
      <c r="H8" s="39"/>
      <c r="I8" s="39"/>
      <c r="J8" s="39"/>
      <c r="K8" s="39"/>
      <c r="L8" s="40"/>
      <c r="M8" s="41"/>
      <c r="N8" s="42"/>
    </row>
    <row r="9" spans="1:14" x14ac:dyDescent="0.3">
      <c r="A9" s="35"/>
      <c r="B9" s="36" t="s">
        <v>11</v>
      </c>
      <c r="C9" s="43"/>
      <c r="D9" s="44"/>
      <c r="E9" s="45"/>
      <c r="F9" s="45"/>
      <c r="G9" s="45"/>
      <c r="H9" s="45"/>
      <c r="I9" s="45"/>
      <c r="J9" s="45"/>
      <c r="K9" s="45"/>
      <c r="L9" s="46"/>
      <c r="M9" s="41"/>
      <c r="N9" s="42"/>
    </row>
    <row r="10" spans="1:14" ht="15" x14ac:dyDescent="0.25">
      <c r="A10" s="35"/>
      <c r="B10" s="47" t="s">
        <v>12</v>
      </c>
      <c r="C10" s="43"/>
      <c r="D10" s="44"/>
      <c r="E10" s="45"/>
      <c r="F10" s="45"/>
      <c r="G10" s="45"/>
      <c r="H10" s="45"/>
      <c r="I10" s="45"/>
      <c r="J10" s="45"/>
      <c r="K10" s="45"/>
      <c r="L10" s="46"/>
      <c r="M10" s="41"/>
      <c r="N10" s="42"/>
    </row>
    <row r="11" spans="1:14" ht="15" customHeight="1" x14ac:dyDescent="0.3">
      <c r="A11" s="35"/>
      <c r="B11" s="48" t="s">
        <v>64</v>
      </c>
      <c r="C11" s="43"/>
      <c r="D11" s="44"/>
      <c r="E11" s="45"/>
      <c r="F11" s="45"/>
      <c r="G11" s="45"/>
      <c r="H11" s="45"/>
      <c r="I11" s="45"/>
      <c r="J11" s="45"/>
      <c r="K11" s="45"/>
      <c r="L11" s="46"/>
      <c r="M11" s="41"/>
      <c r="N11" s="42"/>
    </row>
    <row r="12" spans="1:14" ht="15" x14ac:dyDescent="0.25">
      <c r="A12" s="35"/>
      <c r="B12" s="42"/>
      <c r="C12" s="43"/>
      <c r="D12" s="44"/>
      <c r="E12" s="45"/>
      <c r="F12" s="45"/>
      <c r="G12" s="45"/>
      <c r="H12" s="45"/>
      <c r="I12" s="45"/>
      <c r="J12" s="45"/>
      <c r="K12" s="45"/>
      <c r="L12" s="46"/>
      <c r="M12" s="41"/>
      <c r="N12" s="42"/>
    </row>
    <row r="13" spans="1:14" ht="15.75" thickBot="1" x14ac:dyDescent="0.3">
      <c r="A13" s="35"/>
      <c r="B13" s="49"/>
      <c r="C13" s="50"/>
      <c r="D13" s="51"/>
      <c r="E13" s="52"/>
      <c r="F13" s="52"/>
      <c r="G13" s="52"/>
      <c r="H13" s="52"/>
      <c r="I13" s="52"/>
      <c r="J13" s="52"/>
      <c r="K13" s="52"/>
      <c r="L13" s="53"/>
      <c r="M13" s="54"/>
      <c r="N13" s="55"/>
    </row>
    <row r="14" spans="1:14" ht="15.6" x14ac:dyDescent="0.3">
      <c r="A14" s="56" t="s">
        <v>13</v>
      </c>
      <c r="B14" s="57" t="s">
        <v>14</v>
      </c>
      <c r="C14" s="58" t="s">
        <v>7</v>
      </c>
      <c r="D14" s="159"/>
      <c r="E14" s="160"/>
      <c r="F14" s="30">
        <f>490413+(490413*1.1%)+10000+5733+(511541*4.5%)+10000+5340+12000+12000+5160</f>
        <v>579059.88800000004</v>
      </c>
      <c r="G14" s="30">
        <f>502261.2+(502261.2*1.1%)+10000+5733+(523519*4.5%)+10000+5340+12000+12000+5160</f>
        <v>591577.42819999997</v>
      </c>
      <c r="H14" s="30">
        <f>514107.3+(514107.3*1.1%)+10000+5733+(535495*4.5%)+10000+5340+12000+12000+5160</f>
        <v>604092.75529999996</v>
      </c>
      <c r="I14" s="30">
        <f>525953.4+(525953.4*1.1%)+10000+5733+(547472*4.5%)+10000+5340+12000+12000+5160</f>
        <v>616608.1274</v>
      </c>
      <c r="J14" s="30">
        <f>537800.55+(537800.55*1.1%)+10000+5733+(559449*4.5%)+10000+5340+12000+12000+5160</f>
        <v>629124.56105000002</v>
      </c>
      <c r="K14" s="31">
        <f>553330.05+(553330.05*1.1%)+10000+5733+(575150*4.5%)+10000+5340+12000+12000+5160</f>
        <v>645531.43055000005</v>
      </c>
      <c r="L14" s="33">
        <f>568330.05+(568330.05*1.1%)+10000+5733+(590315*4.5%)+10000+5340+12000+12000+5160</f>
        <v>661378.85555000009</v>
      </c>
      <c r="M14" s="34">
        <f>616879+12500+10000+6340+12000+12000+5160</f>
        <v>674879</v>
      </c>
    </row>
    <row r="15" spans="1:14" x14ac:dyDescent="0.3">
      <c r="A15" s="59"/>
      <c r="B15" s="57" t="s">
        <v>15</v>
      </c>
      <c r="C15" s="60"/>
      <c r="D15" s="38"/>
      <c r="E15" s="39"/>
      <c r="F15" s="175" t="s">
        <v>65</v>
      </c>
      <c r="G15" s="38"/>
      <c r="H15" s="38"/>
      <c r="I15" s="38"/>
      <c r="J15" s="38"/>
      <c r="K15" s="38"/>
      <c r="L15" s="61"/>
      <c r="M15" s="42"/>
    </row>
    <row r="16" spans="1:14" x14ac:dyDescent="0.3">
      <c r="A16" s="59"/>
      <c r="B16" s="57" t="s">
        <v>16</v>
      </c>
      <c r="C16" s="60"/>
      <c r="D16" s="38"/>
      <c r="E16" s="40"/>
      <c r="F16" s="38"/>
      <c r="G16" s="40"/>
      <c r="H16" s="38"/>
      <c r="I16" s="40"/>
      <c r="J16" s="38"/>
      <c r="K16" s="40"/>
      <c r="L16" s="61"/>
      <c r="M16" s="42"/>
    </row>
    <row r="17" spans="1:13" ht="15" x14ac:dyDescent="0.25">
      <c r="A17" s="59"/>
      <c r="B17" s="57" t="s">
        <v>17</v>
      </c>
      <c r="C17" s="60"/>
      <c r="D17" s="38"/>
      <c r="E17" s="40"/>
      <c r="F17" s="38"/>
      <c r="G17" s="40"/>
      <c r="H17" s="38"/>
      <c r="I17" s="40"/>
      <c r="J17" s="38"/>
      <c r="K17" s="40"/>
      <c r="L17" s="61"/>
      <c r="M17" s="42"/>
    </row>
    <row r="18" spans="1:13" ht="15" x14ac:dyDescent="0.25">
      <c r="A18" s="59"/>
      <c r="B18" s="57" t="s">
        <v>18</v>
      </c>
      <c r="C18" s="62" t="s">
        <v>19</v>
      </c>
      <c r="D18" s="44"/>
      <c r="E18" s="46"/>
      <c r="F18" s="44"/>
      <c r="G18" s="46"/>
      <c r="H18" s="44"/>
      <c r="I18" s="46"/>
      <c r="J18" s="44"/>
      <c r="K18" s="46"/>
      <c r="L18" s="63"/>
      <c r="M18" s="42"/>
    </row>
    <row r="19" spans="1:13" ht="15" x14ac:dyDescent="0.25">
      <c r="A19" s="59"/>
      <c r="B19" s="57" t="s">
        <v>20</v>
      </c>
      <c r="C19" s="62"/>
      <c r="D19" s="44"/>
      <c r="E19" s="46"/>
      <c r="F19" s="44"/>
      <c r="G19" s="46"/>
      <c r="H19" s="44"/>
      <c r="I19" s="46"/>
      <c r="J19" s="44"/>
      <c r="K19" s="46"/>
      <c r="L19" s="63"/>
      <c r="M19" s="42"/>
    </row>
    <row r="20" spans="1:13" x14ac:dyDescent="0.3">
      <c r="A20" s="59"/>
      <c r="B20" s="57" t="s">
        <v>21</v>
      </c>
      <c r="C20" s="62"/>
      <c r="D20" s="44"/>
      <c r="E20" s="46"/>
      <c r="F20" s="44"/>
      <c r="G20" s="46"/>
      <c r="H20" s="44"/>
      <c r="I20" s="46"/>
      <c r="J20" s="44"/>
      <c r="K20" s="46"/>
      <c r="L20" s="63"/>
      <c r="M20" s="42"/>
    </row>
    <row r="21" spans="1:13" x14ac:dyDescent="0.3">
      <c r="A21" s="59"/>
      <c r="B21" s="57" t="s">
        <v>22</v>
      </c>
      <c r="C21" s="62"/>
      <c r="D21" s="44"/>
      <c r="E21" s="46"/>
      <c r="F21" s="44"/>
      <c r="G21" s="46"/>
      <c r="H21" s="44"/>
      <c r="I21" s="46"/>
      <c r="J21" s="44"/>
      <c r="K21" s="46"/>
      <c r="L21" s="63"/>
      <c r="M21" s="42"/>
    </row>
    <row r="22" spans="1:13" ht="15" x14ac:dyDescent="0.25">
      <c r="A22" s="59"/>
      <c r="B22" s="57" t="s">
        <v>23</v>
      </c>
      <c r="C22" s="62"/>
      <c r="D22" s="44"/>
      <c r="E22" s="46"/>
      <c r="F22" s="44"/>
      <c r="G22" s="46"/>
      <c r="H22" s="44"/>
      <c r="I22" s="46"/>
      <c r="J22" s="44"/>
      <c r="K22" s="46"/>
      <c r="L22" s="63"/>
      <c r="M22" s="42"/>
    </row>
    <row r="23" spans="1:13" ht="15" x14ac:dyDescent="0.25">
      <c r="A23" s="59"/>
      <c r="B23" s="57" t="s">
        <v>24</v>
      </c>
      <c r="C23" s="62"/>
      <c r="D23" s="44"/>
      <c r="E23" s="46"/>
      <c r="F23" s="44"/>
      <c r="G23" s="46"/>
      <c r="H23" s="44"/>
      <c r="I23" s="46"/>
      <c r="J23" s="44"/>
      <c r="K23" s="46"/>
      <c r="L23" s="63"/>
      <c r="M23" s="42"/>
    </row>
    <row r="24" spans="1:13" ht="15.75" thickBot="1" x14ac:dyDescent="0.3">
      <c r="A24" s="64"/>
      <c r="B24" s="65" t="s">
        <v>25</v>
      </c>
      <c r="C24" s="66"/>
      <c r="D24" s="67"/>
      <c r="E24" s="68"/>
      <c r="F24" s="67"/>
      <c r="G24" s="68"/>
      <c r="H24" s="67"/>
      <c r="I24" s="68"/>
      <c r="J24" s="67"/>
      <c r="K24" s="68"/>
      <c r="L24" s="69"/>
      <c r="M24" s="55"/>
    </row>
    <row r="25" spans="1:13" ht="15.6" x14ac:dyDescent="0.3">
      <c r="A25" s="70" t="s">
        <v>26</v>
      </c>
      <c r="B25" s="28" t="s">
        <v>27</v>
      </c>
      <c r="C25" s="58" t="s">
        <v>7</v>
      </c>
      <c r="D25" s="159"/>
      <c r="E25" s="160"/>
      <c r="F25" s="30">
        <f>477260.7+(477260.7*1.1%)+10000+5733+(498244*4.5%)+10000+5340+12000+12000+5160</f>
        <v>565164.5477</v>
      </c>
      <c r="G25" s="30">
        <f>488668.95+(488668.95*1.1%)+10000+5733+(509777*4.5%)+10000+5340+12000+12000+5160</f>
        <v>577217.27344999998</v>
      </c>
      <c r="H25" s="30">
        <f>500073+(500073*1.1%)+10000+5733+(521307*4.5%)+10000+5340+12000+12000+5160</f>
        <v>589265.61800000002</v>
      </c>
      <c r="I25" s="30">
        <f>511479.15+(511479.15*1.1%)+10000+5733+(532838*4.5%)+10000+5340+12000+12000+5160</f>
        <v>601316.13064999995</v>
      </c>
      <c r="J25" s="30">
        <f>522883.2+(522883.2*1.1%)+10000+5733+(544368*4.5%)+10000+5340+12000+12000+5160</f>
        <v>613364.47519999999</v>
      </c>
      <c r="K25" s="31">
        <f>537973.8+(537973.8*1.1%)+10000+5733+(559625*4.5%)+10000+5340+12000+12000+5160</f>
        <v>629307.63680000009</v>
      </c>
      <c r="L25" s="30">
        <f>556623+10000+5733+(572365*4.5%)+10000+5340+12000+12000+5160</f>
        <v>642612.42500000005</v>
      </c>
      <c r="M25" s="34">
        <f>598112+12500+10000+6340+12000+12000+5160</f>
        <v>656112</v>
      </c>
    </row>
    <row r="26" spans="1:13" x14ac:dyDescent="0.3">
      <c r="A26" s="35"/>
      <c r="B26" s="36" t="s">
        <v>28</v>
      </c>
      <c r="C26" s="60"/>
      <c r="D26" s="38"/>
      <c r="E26" s="39"/>
      <c r="F26" s="175" t="s">
        <v>65</v>
      </c>
      <c r="G26" s="39"/>
      <c r="H26" s="39"/>
      <c r="I26" s="39"/>
      <c r="J26" s="39"/>
      <c r="K26" s="39"/>
      <c r="L26" s="40"/>
      <c r="M26" s="71"/>
    </row>
    <row r="27" spans="1:13" ht="15" x14ac:dyDescent="0.25">
      <c r="A27" s="35"/>
      <c r="B27" s="36" t="s">
        <v>29</v>
      </c>
      <c r="C27" s="60"/>
      <c r="D27" s="38"/>
      <c r="E27" s="39"/>
      <c r="F27" s="39"/>
      <c r="G27" s="39"/>
      <c r="H27" s="39"/>
      <c r="I27" s="39"/>
      <c r="J27" s="39"/>
      <c r="K27" s="39"/>
      <c r="L27" s="40"/>
      <c r="M27" s="72"/>
    </row>
    <row r="28" spans="1:13" x14ac:dyDescent="0.3">
      <c r="A28" s="35"/>
      <c r="B28" s="36" t="s">
        <v>30</v>
      </c>
      <c r="C28" s="60"/>
      <c r="D28" s="38"/>
      <c r="E28" s="39"/>
      <c r="F28" s="39"/>
      <c r="G28" s="39"/>
      <c r="H28" s="39"/>
      <c r="I28" s="39"/>
      <c r="J28" s="39"/>
      <c r="K28" s="39"/>
      <c r="L28" s="40"/>
      <c r="M28" s="72"/>
    </row>
    <row r="29" spans="1:13" ht="15" x14ac:dyDescent="0.25">
      <c r="A29" s="35"/>
      <c r="B29" s="36" t="s">
        <v>31</v>
      </c>
      <c r="C29" s="62"/>
      <c r="D29" s="44"/>
      <c r="E29" s="45"/>
      <c r="F29" s="45"/>
      <c r="G29" s="45"/>
      <c r="H29" s="45"/>
      <c r="I29" s="45"/>
      <c r="J29" s="45"/>
      <c r="K29" s="45"/>
      <c r="L29" s="46"/>
      <c r="M29" s="72"/>
    </row>
    <row r="30" spans="1:13" x14ac:dyDescent="0.3">
      <c r="A30" s="35"/>
      <c r="B30" s="36" t="s">
        <v>32</v>
      </c>
      <c r="C30" s="62"/>
      <c r="D30" s="44"/>
      <c r="E30" s="45"/>
      <c r="F30" s="45"/>
      <c r="G30" s="45"/>
      <c r="H30" s="45"/>
      <c r="I30" s="45"/>
      <c r="J30" s="45"/>
      <c r="K30" s="45"/>
      <c r="L30" s="46"/>
      <c r="M30" s="72"/>
    </row>
    <row r="31" spans="1:13" ht="15" x14ac:dyDescent="0.25">
      <c r="A31" s="35"/>
      <c r="B31" s="36" t="s">
        <v>33</v>
      </c>
      <c r="C31" s="62"/>
      <c r="D31" s="44"/>
      <c r="E31" s="45"/>
      <c r="F31" s="45"/>
      <c r="G31" s="45"/>
      <c r="H31" s="45"/>
      <c r="I31" s="45"/>
      <c r="J31" s="45"/>
      <c r="K31" s="45"/>
      <c r="L31" s="46"/>
      <c r="M31" s="72"/>
    </row>
    <row r="32" spans="1:13" ht="15" x14ac:dyDescent="0.25">
      <c r="A32" s="35"/>
      <c r="B32" s="36" t="s">
        <v>34</v>
      </c>
      <c r="C32" s="62"/>
      <c r="D32" s="44"/>
      <c r="E32" s="45"/>
      <c r="F32" s="45"/>
      <c r="G32" s="45"/>
      <c r="H32" s="45"/>
      <c r="I32" s="45"/>
      <c r="J32" s="45"/>
      <c r="K32" s="45"/>
      <c r="L32" s="46"/>
      <c r="M32" s="72"/>
    </row>
    <row r="33" spans="1:13" ht="15.75" thickBot="1" x14ac:dyDescent="0.3">
      <c r="A33" s="73"/>
      <c r="B33" s="74" t="s">
        <v>35</v>
      </c>
      <c r="C33" s="75"/>
      <c r="D33" s="51"/>
      <c r="E33" s="52"/>
      <c r="F33" s="52"/>
      <c r="G33" s="52"/>
      <c r="H33" s="52"/>
      <c r="I33" s="52"/>
      <c r="J33" s="52"/>
      <c r="K33" s="52"/>
      <c r="L33" s="53"/>
      <c r="M33" s="76"/>
    </row>
    <row r="34" spans="1:13" ht="15.6" x14ac:dyDescent="0.3">
      <c r="A34" s="70" t="s">
        <v>36</v>
      </c>
      <c r="B34" s="28" t="s">
        <v>37</v>
      </c>
      <c r="C34" s="58" t="s">
        <v>7</v>
      </c>
      <c r="D34" s="159"/>
      <c r="E34" s="160"/>
      <c r="F34" s="30">
        <f>434527.44615+10000+5733+(450260*4.5%)+10000+5340+12000+12000+5160</f>
        <v>515022.14614999999</v>
      </c>
      <c r="G34" s="30">
        <f>443420.0505+10000+5733+(459153*4.5%)+10000+5340+12000+12000+5160</f>
        <v>524314.93550000002</v>
      </c>
      <c r="H34" s="30">
        <f>452314.77795+10000+5733+(468048*4.5%)+10000+5340+12000+12000+5160</f>
        <v>533609.93794999993</v>
      </c>
      <c r="I34" s="30">
        <f>461207.3823+10000+5733+(476940*4.5%)+10000+5340+12000+12000+5160</f>
        <v>542902.68229999999</v>
      </c>
      <c r="J34" s="30">
        <f>470102.10975+10000+5733+(485835*4.5%)+10000+5340+12000+12000+5160</f>
        <v>552197.68475000001</v>
      </c>
      <c r="K34" s="31">
        <f>482720.7546+10000+5733+(498454*4.5%)+10000+5340+12000+12000+5160</f>
        <v>565384.18460000004</v>
      </c>
      <c r="L34" s="30">
        <f>489229+10000+5733+(504962*4.5%)+10000+5340+12000+12000+5160</f>
        <v>572185.29</v>
      </c>
      <c r="M34" s="34">
        <f>527685+12500+10000+6340+12000+12000+5160</f>
        <v>585685</v>
      </c>
    </row>
    <row r="35" spans="1:13" x14ac:dyDescent="0.3">
      <c r="A35" s="35"/>
      <c r="B35" s="36" t="s">
        <v>38</v>
      </c>
      <c r="C35" s="60"/>
      <c r="D35" s="38"/>
      <c r="E35" s="39"/>
      <c r="F35" s="175" t="s">
        <v>65</v>
      </c>
      <c r="G35" s="39"/>
      <c r="H35" s="39"/>
      <c r="I35" s="39"/>
      <c r="J35" s="39"/>
      <c r="K35" s="39"/>
      <c r="L35" s="40"/>
      <c r="M35" s="71"/>
    </row>
    <row r="36" spans="1:13" ht="15" x14ac:dyDescent="0.25">
      <c r="A36" s="35"/>
      <c r="B36" s="36"/>
      <c r="C36" s="60"/>
      <c r="D36" s="38"/>
      <c r="E36" s="39"/>
      <c r="F36" s="39"/>
      <c r="G36" s="39"/>
      <c r="H36" s="39"/>
      <c r="I36" s="39"/>
      <c r="J36" s="39"/>
      <c r="K36" s="39"/>
      <c r="L36" s="40"/>
      <c r="M36" s="72"/>
    </row>
    <row r="37" spans="1:13" ht="15.75" thickBot="1" x14ac:dyDescent="0.3">
      <c r="A37" s="73"/>
      <c r="B37" s="77"/>
      <c r="C37" s="66"/>
      <c r="D37" s="78"/>
      <c r="E37" s="79"/>
      <c r="F37" s="79"/>
      <c r="G37" s="79"/>
      <c r="H37" s="79"/>
      <c r="I37" s="79"/>
      <c r="J37" s="79"/>
      <c r="K37" s="79"/>
      <c r="L37" s="80"/>
      <c r="M37" s="76"/>
    </row>
    <row r="38" spans="1:13" ht="15" x14ac:dyDescent="0.25">
      <c r="A38" s="11" t="s">
        <v>39</v>
      </c>
      <c r="B38" s="11"/>
      <c r="C38" s="11"/>
      <c r="D38" s="11"/>
      <c r="E38" s="11"/>
      <c r="F38" s="11"/>
      <c r="G38" s="11"/>
      <c r="H38" s="81"/>
      <c r="I38" s="81"/>
      <c r="J38" s="81"/>
      <c r="K38" s="81"/>
      <c r="L38" s="81"/>
    </row>
    <row r="39" spans="1:13" ht="14.25" customHeight="1" x14ac:dyDescent="0.3">
      <c r="A39" s="82" t="s">
        <v>40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</row>
    <row r="40" spans="1:13" ht="15.6" x14ac:dyDescent="0.3">
      <c r="A40" s="84" t="s">
        <v>41</v>
      </c>
      <c r="B40" s="85"/>
      <c r="C40" s="85"/>
      <c r="D40" s="86"/>
      <c r="E40" s="86"/>
      <c r="F40" s="87"/>
      <c r="G40" s="162"/>
      <c r="H40" s="162"/>
      <c r="I40" s="89"/>
      <c r="J40" s="164"/>
      <c r="K40" s="89"/>
      <c r="L40" s="89"/>
    </row>
    <row r="41" spans="1:13" x14ac:dyDescent="0.3">
      <c r="A41" s="176" t="s">
        <v>43</v>
      </c>
      <c r="B41" s="176"/>
      <c r="F41" s="88"/>
      <c r="G41" s="88"/>
      <c r="H41" s="88"/>
      <c r="I41" s="89"/>
      <c r="J41" s="92"/>
      <c r="K41" s="92"/>
      <c r="L41" s="89"/>
    </row>
    <row r="42" spans="1:13" ht="15.6" x14ac:dyDescent="0.3">
      <c r="A42" s="176" t="s">
        <v>44</v>
      </c>
      <c r="B42" s="176"/>
      <c r="E42" s="11"/>
      <c r="F42" s="163"/>
      <c r="G42" s="92"/>
      <c r="H42" s="92"/>
      <c r="I42" s="92"/>
      <c r="J42" s="92"/>
      <c r="K42" s="92"/>
      <c r="L42" s="89"/>
    </row>
    <row r="43" spans="1:13" ht="15" customHeight="1" x14ac:dyDescent="0.3">
      <c r="A43" s="176" t="s">
        <v>45</v>
      </c>
      <c r="B43" s="176"/>
      <c r="E43" s="11"/>
      <c r="F43" s="92"/>
      <c r="G43" s="92"/>
      <c r="H43" s="92"/>
      <c r="I43" s="92"/>
      <c r="J43" s="92"/>
      <c r="K43" s="92"/>
      <c r="L43" s="88"/>
    </row>
    <row r="44" spans="1:13" x14ac:dyDescent="0.3">
      <c r="A44" s="176" t="s">
        <v>46</v>
      </c>
      <c r="B44" s="176"/>
      <c r="E44" s="11"/>
      <c r="F44" s="11"/>
      <c r="G44" s="11"/>
      <c r="H44" s="11"/>
      <c r="I44" s="11"/>
      <c r="J44" s="11"/>
      <c r="K44" s="11"/>
    </row>
    <row r="45" spans="1:13" x14ac:dyDescent="0.3">
      <c r="A45" s="176" t="s">
        <v>47</v>
      </c>
      <c r="B45" s="176"/>
      <c r="E45" s="11"/>
    </row>
    <row r="46" spans="1:13" x14ac:dyDescent="0.3">
      <c r="A46" s="90" t="s">
        <v>48</v>
      </c>
      <c r="B46" s="91"/>
      <c r="E46" s="11"/>
    </row>
    <row r="47" spans="1:13" x14ac:dyDescent="0.3">
      <c r="A47" s="176" t="s">
        <v>49</v>
      </c>
      <c r="B47" s="176"/>
      <c r="E47" s="11"/>
      <c r="F47" s="11"/>
      <c r="G47" s="11"/>
      <c r="H47" s="11"/>
      <c r="I47" s="11"/>
      <c r="J47" s="11"/>
      <c r="K47" s="11"/>
    </row>
    <row r="48" spans="1:13" x14ac:dyDescent="0.3">
      <c r="A48" s="176" t="s">
        <v>50</v>
      </c>
      <c r="B48" s="176"/>
    </row>
    <row r="49" spans="1:12" ht="5.25" customHeight="1" x14ac:dyDescent="0.3"/>
    <row r="50" spans="1:12" x14ac:dyDescent="0.3">
      <c r="A50" s="88"/>
      <c r="B50" s="92"/>
      <c r="C50" s="92"/>
      <c r="D50" s="92"/>
      <c r="L50" s="93"/>
    </row>
    <row r="51" spans="1:12" x14ac:dyDescent="0.3">
      <c r="B51" s="11"/>
      <c r="C51" s="11"/>
      <c r="D51" s="11"/>
      <c r="E51" s="11"/>
      <c r="F51" s="11"/>
      <c r="G51" s="11"/>
      <c r="H51" s="93"/>
      <c r="I51" s="93"/>
      <c r="J51" s="93"/>
      <c r="K51" s="93"/>
      <c r="L51" s="93"/>
    </row>
    <row r="52" spans="1:12" x14ac:dyDescent="0.3">
      <c r="A52" s="11"/>
      <c r="B52" s="11"/>
      <c r="C52" s="11"/>
      <c r="D52" s="11"/>
      <c r="E52" s="11"/>
      <c r="F52" s="11"/>
      <c r="G52" s="11"/>
      <c r="H52" s="81"/>
      <c r="I52" s="81"/>
      <c r="J52" s="81"/>
      <c r="K52" s="81"/>
      <c r="L52" s="81"/>
    </row>
    <row r="54" spans="1:12" ht="15.6" x14ac:dyDescent="0.3">
      <c r="C54" s="94"/>
    </row>
  </sheetData>
  <mergeCells count="8">
    <mergeCell ref="A47:B47"/>
    <mergeCell ref="A48:B48"/>
    <mergeCell ref="F3:L3"/>
    <mergeCell ref="A41:B41"/>
    <mergeCell ref="A42:B42"/>
    <mergeCell ref="A43:B43"/>
    <mergeCell ref="A44:B44"/>
    <mergeCell ref="A45:B45"/>
  </mergeCells>
  <pageMargins left="0.51181102362204722" right="0.11811023622047245" top="0.55118110236220474" bottom="0.15748031496062992" header="0.31496062992125984" footer="0.31496062992125984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90" zoomScaleNormal="90" workbookViewId="0">
      <selection activeCell="K35" sqref="K35"/>
    </sheetView>
  </sheetViews>
  <sheetFormatPr baseColWidth="10" defaultRowHeight="14.4" x14ac:dyDescent="0.3"/>
  <cols>
    <col min="1" max="1" width="5.44140625" customWidth="1"/>
    <col min="2" max="2" width="22" customWidth="1"/>
    <col min="3" max="3" width="17" customWidth="1"/>
    <col min="4" max="5" width="13.5546875" customWidth="1"/>
    <col min="6" max="12" width="13.6640625" customWidth="1"/>
    <col min="13" max="13" width="12.5546875" customWidth="1"/>
    <col min="14" max="14" width="11.88671875" customWidth="1"/>
    <col min="257" max="257" width="5.44140625" customWidth="1"/>
    <col min="258" max="258" width="22" customWidth="1"/>
    <col min="259" max="259" width="17" customWidth="1"/>
    <col min="260" max="260" width="13.6640625" customWidth="1"/>
    <col min="261" max="261" width="15.88671875" customWidth="1"/>
    <col min="262" max="268" width="13.6640625" customWidth="1"/>
    <col min="269" max="269" width="12.5546875" customWidth="1"/>
    <col min="270" max="270" width="11.88671875" customWidth="1"/>
    <col min="513" max="513" width="5.44140625" customWidth="1"/>
    <col min="514" max="514" width="22" customWidth="1"/>
    <col min="515" max="515" width="17" customWidth="1"/>
    <col min="516" max="516" width="13.6640625" customWidth="1"/>
    <col min="517" max="517" width="15.88671875" customWidth="1"/>
    <col min="518" max="524" width="13.6640625" customWidth="1"/>
    <col min="525" max="525" width="12.5546875" customWidth="1"/>
    <col min="526" max="526" width="11.88671875" customWidth="1"/>
    <col min="769" max="769" width="5.44140625" customWidth="1"/>
    <col min="770" max="770" width="22" customWidth="1"/>
    <col min="771" max="771" width="17" customWidth="1"/>
    <col min="772" max="772" width="13.6640625" customWidth="1"/>
    <col min="773" max="773" width="15.88671875" customWidth="1"/>
    <col min="774" max="780" width="13.6640625" customWidth="1"/>
    <col min="781" max="781" width="12.5546875" customWidth="1"/>
    <col min="782" max="782" width="11.88671875" customWidth="1"/>
    <col min="1025" max="1025" width="5.44140625" customWidth="1"/>
    <col min="1026" max="1026" width="22" customWidth="1"/>
    <col min="1027" max="1027" width="17" customWidth="1"/>
    <col min="1028" max="1028" width="13.6640625" customWidth="1"/>
    <col min="1029" max="1029" width="15.88671875" customWidth="1"/>
    <col min="1030" max="1036" width="13.6640625" customWidth="1"/>
    <col min="1037" max="1037" width="12.5546875" customWidth="1"/>
    <col min="1038" max="1038" width="11.88671875" customWidth="1"/>
    <col min="1281" max="1281" width="5.44140625" customWidth="1"/>
    <col min="1282" max="1282" width="22" customWidth="1"/>
    <col min="1283" max="1283" width="17" customWidth="1"/>
    <col min="1284" max="1284" width="13.6640625" customWidth="1"/>
    <col min="1285" max="1285" width="15.88671875" customWidth="1"/>
    <col min="1286" max="1292" width="13.6640625" customWidth="1"/>
    <col min="1293" max="1293" width="12.5546875" customWidth="1"/>
    <col min="1294" max="1294" width="11.88671875" customWidth="1"/>
    <col min="1537" max="1537" width="5.44140625" customWidth="1"/>
    <col min="1538" max="1538" width="22" customWidth="1"/>
    <col min="1539" max="1539" width="17" customWidth="1"/>
    <col min="1540" max="1540" width="13.6640625" customWidth="1"/>
    <col min="1541" max="1541" width="15.88671875" customWidth="1"/>
    <col min="1542" max="1548" width="13.6640625" customWidth="1"/>
    <col min="1549" max="1549" width="12.5546875" customWidth="1"/>
    <col min="1550" max="1550" width="11.88671875" customWidth="1"/>
    <col min="1793" max="1793" width="5.44140625" customWidth="1"/>
    <col min="1794" max="1794" width="22" customWidth="1"/>
    <col min="1795" max="1795" width="17" customWidth="1"/>
    <col min="1796" max="1796" width="13.6640625" customWidth="1"/>
    <col min="1797" max="1797" width="15.88671875" customWidth="1"/>
    <col min="1798" max="1804" width="13.6640625" customWidth="1"/>
    <col min="1805" max="1805" width="12.5546875" customWidth="1"/>
    <col min="1806" max="1806" width="11.88671875" customWidth="1"/>
    <col min="2049" max="2049" width="5.44140625" customWidth="1"/>
    <col min="2050" max="2050" width="22" customWidth="1"/>
    <col min="2051" max="2051" width="17" customWidth="1"/>
    <col min="2052" max="2052" width="13.6640625" customWidth="1"/>
    <col min="2053" max="2053" width="15.88671875" customWidth="1"/>
    <col min="2054" max="2060" width="13.6640625" customWidth="1"/>
    <col min="2061" max="2061" width="12.5546875" customWidth="1"/>
    <col min="2062" max="2062" width="11.88671875" customWidth="1"/>
    <col min="2305" max="2305" width="5.44140625" customWidth="1"/>
    <col min="2306" max="2306" width="22" customWidth="1"/>
    <col min="2307" max="2307" width="17" customWidth="1"/>
    <col min="2308" max="2308" width="13.6640625" customWidth="1"/>
    <col min="2309" max="2309" width="15.88671875" customWidth="1"/>
    <col min="2310" max="2316" width="13.6640625" customWidth="1"/>
    <col min="2317" max="2317" width="12.5546875" customWidth="1"/>
    <col min="2318" max="2318" width="11.88671875" customWidth="1"/>
    <col min="2561" max="2561" width="5.44140625" customWidth="1"/>
    <col min="2562" max="2562" width="22" customWidth="1"/>
    <col min="2563" max="2563" width="17" customWidth="1"/>
    <col min="2564" max="2564" width="13.6640625" customWidth="1"/>
    <col min="2565" max="2565" width="15.88671875" customWidth="1"/>
    <col min="2566" max="2572" width="13.6640625" customWidth="1"/>
    <col min="2573" max="2573" width="12.5546875" customWidth="1"/>
    <col min="2574" max="2574" width="11.88671875" customWidth="1"/>
    <col min="2817" max="2817" width="5.44140625" customWidth="1"/>
    <col min="2818" max="2818" width="22" customWidth="1"/>
    <col min="2819" max="2819" width="17" customWidth="1"/>
    <col min="2820" max="2820" width="13.6640625" customWidth="1"/>
    <col min="2821" max="2821" width="15.88671875" customWidth="1"/>
    <col min="2822" max="2828" width="13.6640625" customWidth="1"/>
    <col min="2829" max="2829" width="12.5546875" customWidth="1"/>
    <col min="2830" max="2830" width="11.88671875" customWidth="1"/>
    <col min="3073" max="3073" width="5.44140625" customWidth="1"/>
    <col min="3074" max="3074" width="22" customWidth="1"/>
    <col min="3075" max="3075" width="17" customWidth="1"/>
    <col min="3076" max="3076" width="13.6640625" customWidth="1"/>
    <col min="3077" max="3077" width="15.88671875" customWidth="1"/>
    <col min="3078" max="3084" width="13.6640625" customWidth="1"/>
    <col min="3085" max="3085" width="12.5546875" customWidth="1"/>
    <col min="3086" max="3086" width="11.88671875" customWidth="1"/>
    <col min="3329" max="3329" width="5.44140625" customWidth="1"/>
    <col min="3330" max="3330" width="22" customWidth="1"/>
    <col min="3331" max="3331" width="17" customWidth="1"/>
    <col min="3332" max="3332" width="13.6640625" customWidth="1"/>
    <col min="3333" max="3333" width="15.88671875" customWidth="1"/>
    <col min="3334" max="3340" width="13.6640625" customWidth="1"/>
    <col min="3341" max="3341" width="12.5546875" customWidth="1"/>
    <col min="3342" max="3342" width="11.88671875" customWidth="1"/>
    <col min="3585" max="3585" width="5.44140625" customWidth="1"/>
    <col min="3586" max="3586" width="22" customWidth="1"/>
    <col min="3587" max="3587" width="17" customWidth="1"/>
    <col min="3588" max="3588" width="13.6640625" customWidth="1"/>
    <col min="3589" max="3589" width="15.88671875" customWidth="1"/>
    <col min="3590" max="3596" width="13.6640625" customWidth="1"/>
    <col min="3597" max="3597" width="12.5546875" customWidth="1"/>
    <col min="3598" max="3598" width="11.88671875" customWidth="1"/>
    <col min="3841" max="3841" width="5.44140625" customWidth="1"/>
    <col min="3842" max="3842" width="22" customWidth="1"/>
    <col min="3843" max="3843" width="17" customWidth="1"/>
    <col min="3844" max="3844" width="13.6640625" customWidth="1"/>
    <col min="3845" max="3845" width="15.88671875" customWidth="1"/>
    <col min="3846" max="3852" width="13.6640625" customWidth="1"/>
    <col min="3853" max="3853" width="12.5546875" customWidth="1"/>
    <col min="3854" max="3854" width="11.88671875" customWidth="1"/>
    <col min="4097" max="4097" width="5.44140625" customWidth="1"/>
    <col min="4098" max="4098" width="22" customWidth="1"/>
    <col min="4099" max="4099" width="17" customWidth="1"/>
    <col min="4100" max="4100" width="13.6640625" customWidth="1"/>
    <col min="4101" max="4101" width="15.88671875" customWidth="1"/>
    <col min="4102" max="4108" width="13.6640625" customWidth="1"/>
    <col min="4109" max="4109" width="12.5546875" customWidth="1"/>
    <col min="4110" max="4110" width="11.88671875" customWidth="1"/>
    <col min="4353" max="4353" width="5.44140625" customWidth="1"/>
    <col min="4354" max="4354" width="22" customWidth="1"/>
    <col min="4355" max="4355" width="17" customWidth="1"/>
    <col min="4356" max="4356" width="13.6640625" customWidth="1"/>
    <col min="4357" max="4357" width="15.88671875" customWidth="1"/>
    <col min="4358" max="4364" width="13.6640625" customWidth="1"/>
    <col min="4365" max="4365" width="12.5546875" customWidth="1"/>
    <col min="4366" max="4366" width="11.88671875" customWidth="1"/>
    <col min="4609" max="4609" width="5.44140625" customWidth="1"/>
    <col min="4610" max="4610" width="22" customWidth="1"/>
    <col min="4611" max="4611" width="17" customWidth="1"/>
    <col min="4612" max="4612" width="13.6640625" customWidth="1"/>
    <col min="4613" max="4613" width="15.88671875" customWidth="1"/>
    <col min="4614" max="4620" width="13.6640625" customWidth="1"/>
    <col min="4621" max="4621" width="12.5546875" customWidth="1"/>
    <col min="4622" max="4622" width="11.88671875" customWidth="1"/>
    <col min="4865" max="4865" width="5.44140625" customWidth="1"/>
    <col min="4866" max="4866" width="22" customWidth="1"/>
    <col min="4867" max="4867" width="17" customWidth="1"/>
    <col min="4868" max="4868" width="13.6640625" customWidth="1"/>
    <col min="4869" max="4869" width="15.88671875" customWidth="1"/>
    <col min="4870" max="4876" width="13.6640625" customWidth="1"/>
    <col min="4877" max="4877" width="12.5546875" customWidth="1"/>
    <col min="4878" max="4878" width="11.88671875" customWidth="1"/>
    <col min="5121" max="5121" width="5.44140625" customWidth="1"/>
    <col min="5122" max="5122" width="22" customWidth="1"/>
    <col min="5123" max="5123" width="17" customWidth="1"/>
    <col min="5124" max="5124" width="13.6640625" customWidth="1"/>
    <col min="5125" max="5125" width="15.88671875" customWidth="1"/>
    <col min="5126" max="5132" width="13.6640625" customWidth="1"/>
    <col min="5133" max="5133" width="12.5546875" customWidth="1"/>
    <col min="5134" max="5134" width="11.88671875" customWidth="1"/>
    <col min="5377" max="5377" width="5.44140625" customWidth="1"/>
    <col min="5378" max="5378" width="22" customWidth="1"/>
    <col min="5379" max="5379" width="17" customWidth="1"/>
    <col min="5380" max="5380" width="13.6640625" customWidth="1"/>
    <col min="5381" max="5381" width="15.88671875" customWidth="1"/>
    <col min="5382" max="5388" width="13.6640625" customWidth="1"/>
    <col min="5389" max="5389" width="12.5546875" customWidth="1"/>
    <col min="5390" max="5390" width="11.88671875" customWidth="1"/>
    <col min="5633" max="5633" width="5.44140625" customWidth="1"/>
    <col min="5634" max="5634" width="22" customWidth="1"/>
    <col min="5635" max="5635" width="17" customWidth="1"/>
    <col min="5636" max="5636" width="13.6640625" customWidth="1"/>
    <col min="5637" max="5637" width="15.88671875" customWidth="1"/>
    <col min="5638" max="5644" width="13.6640625" customWidth="1"/>
    <col min="5645" max="5645" width="12.5546875" customWidth="1"/>
    <col min="5646" max="5646" width="11.88671875" customWidth="1"/>
    <col min="5889" max="5889" width="5.44140625" customWidth="1"/>
    <col min="5890" max="5890" width="22" customWidth="1"/>
    <col min="5891" max="5891" width="17" customWidth="1"/>
    <col min="5892" max="5892" width="13.6640625" customWidth="1"/>
    <col min="5893" max="5893" width="15.88671875" customWidth="1"/>
    <col min="5894" max="5900" width="13.6640625" customWidth="1"/>
    <col min="5901" max="5901" width="12.5546875" customWidth="1"/>
    <col min="5902" max="5902" width="11.88671875" customWidth="1"/>
    <col min="6145" max="6145" width="5.44140625" customWidth="1"/>
    <col min="6146" max="6146" width="22" customWidth="1"/>
    <col min="6147" max="6147" width="17" customWidth="1"/>
    <col min="6148" max="6148" width="13.6640625" customWidth="1"/>
    <col min="6149" max="6149" width="15.88671875" customWidth="1"/>
    <col min="6150" max="6156" width="13.6640625" customWidth="1"/>
    <col min="6157" max="6157" width="12.5546875" customWidth="1"/>
    <col min="6158" max="6158" width="11.88671875" customWidth="1"/>
    <col min="6401" max="6401" width="5.44140625" customWidth="1"/>
    <col min="6402" max="6402" width="22" customWidth="1"/>
    <col min="6403" max="6403" width="17" customWidth="1"/>
    <col min="6404" max="6404" width="13.6640625" customWidth="1"/>
    <col min="6405" max="6405" width="15.88671875" customWidth="1"/>
    <col min="6406" max="6412" width="13.6640625" customWidth="1"/>
    <col min="6413" max="6413" width="12.5546875" customWidth="1"/>
    <col min="6414" max="6414" width="11.88671875" customWidth="1"/>
    <col min="6657" max="6657" width="5.44140625" customWidth="1"/>
    <col min="6658" max="6658" width="22" customWidth="1"/>
    <col min="6659" max="6659" width="17" customWidth="1"/>
    <col min="6660" max="6660" width="13.6640625" customWidth="1"/>
    <col min="6661" max="6661" width="15.88671875" customWidth="1"/>
    <col min="6662" max="6668" width="13.6640625" customWidth="1"/>
    <col min="6669" max="6669" width="12.5546875" customWidth="1"/>
    <col min="6670" max="6670" width="11.88671875" customWidth="1"/>
    <col min="6913" max="6913" width="5.44140625" customWidth="1"/>
    <col min="6914" max="6914" width="22" customWidth="1"/>
    <col min="6915" max="6915" width="17" customWidth="1"/>
    <col min="6916" max="6916" width="13.6640625" customWidth="1"/>
    <col min="6917" max="6917" width="15.88671875" customWidth="1"/>
    <col min="6918" max="6924" width="13.6640625" customWidth="1"/>
    <col min="6925" max="6925" width="12.5546875" customWidth="1"/>
    <col min="6926" max="6926" width="11.88671875" customWidth="1"/>
    <col min="7169" max="7169" width="5.44140625" customWidth="1"/>
    <col min="7170" max="7170" width="22" customWidth="1"/>
    <col min="7171" max="7171" width="17" customWidth="1"/>
    <col min="7172" max="7172" width="13.6640625" customWidth="1"/>
    <col min="7173" max="7173" width="15.88671875" customWidth="1"/>
    <col min="7174" max="7180" width="13.6640625" customWidth="1"/>
    <col min="7181" max="7181" width="12.5546875" customWidth="1"/>
    <col min="7182" max="7182" width="11.88671875" customWidth="1"/>
    <col min="7425" max="7425" width="5.44140625" customWidth="1"/>
    <col min="7426" max="7426" width="22" customWidth="1"/>
    <col min="7427" max="7427" width="17" customWidth="1"/>
    <col min="7428" max="7428" width="13.6640625" customWidth="1"/>
    <col min="7429" max="7429" width="15.88671875" customWidth="1"/>
    <col min="7430" max="7436" width="13.6640625" customWidth="1"/>
    <col min="7437" max="7437" width="12.5546875" customWidth="1"/>
    <col min="7438" max="7438" width="11.88671875" customWidth="1"/>
    <col min="7681" max="7681" width="5.44140625" customWidth="1"/>
    <col min="7682" max="7682" width="22" customWidth="1"/>
    <col min="7683" max="7683" width="17" customWidth="1"/>
    <col min="7684" max="7684" width="13.6640625" customWidth="1"/>
    <col min="7685" max="7685" width="15.88671875" customWidth="1"/>
    <col min="7686" max="7692" width="13.6640625" customWidth="1"/>
    <col min="7693" max="7693" width="12.5546875" customWidth="1"/>
    <col min="7694" max="7694" width="11.88671875" customWidth="1"/>
    <col min="7937" max="7937" width="5.44140625" customWidth="1"/>
    <col min="7938" max="7938" width="22" customWidth="1"/>
    <col min="7939" max="7939" width="17" customWidth="1"/>
    <col min="7940" max="7940" width="13.6640625" customWidth="1"/>
    <col min="7941" max="7941" width="15.88671875" customWidth="1"/>
    <col min="7942" max="7948" width="13.6640625" customWidth="1"/>
    <col min="7949" max="7949" width="12.5546875" customWidth="1"/>
    <col min="7950" max="7950" width="11.88671875" customWidth="1"/>
    <col min="8193" max="8193" width="5.44140625" customWidth="1"/>
    <col min="8194" max="8194" width="22" customWidth="1"/>
    <col min="8195" max="8195" width="17" customWidth="1"/>
    <col min="8196" max="8196" width="13.6640625" customWidth="1"/>
    <col min="8197" max="8197" width="15.88671875" customWidth="1"/>
    <col min="8198" max="8204" width="13.6640625" customWidth="1"/>
    <col min="8205" max="8205" width="12.5546875" customWidth="1"/>
    <col min="8206" max="8206" width="11.88671875" customWidth="1"/>
    <col min="8449" max="8449" width="5.44140625" customWidth="1"/>
    <col min="8450" max="8450" width="22" customWidth="1"/>
    <col min="8451" max="8451" width="17" customWidth="1"/>
    <col min="8452" max="8452" width="13.6640625" customWidth="1"/>
    <col min="8453" max="8453" width="15.88671875" customWidth="1"/>
    <col min="8454" max="8460" width="13.6640625" customWidth="1"/>
    <col min="8461" max="8461" width="12.5546875" customWidth="1"/>
    <col min="8462" max="8462" width="11.88671875" customWidth="1"/>
    <col min="8705" max="8705" width="5.44140625" customWidth="1"/>
    <col min="8706" max="8706" width="22" customWidth="1"/>
    <col min="8707" max="8707" width="17" customWidth="1"/>
    <col min="8708" max="8708" width="13.6640625" customWidth="1"/>
    <col min="8709" max="8709" width="15.88671875" customWidth="1"/>
    <col min="8710" max="8716" width="13.6640625" customWidth="1"/>
    <col min="8717" max="8717" width="12.5546875" customWidth="1"/>
    <col min="8718" max="8718" width="11.88671875" customWidth="1"/>
    <col min="8961" max="8961" width="5.44140625" customWidth="1"/>
    <col min="8962" max="8962" width="22" customWidth="1"/>
    <col min="8963" max="8963" width="17" customWidth="1"/>
    <col min="8964" max="8964" width="13.6640625" customWidth="1"/>
    <col min="8965" max="8965" width="15.88671875" customWidth="1"/>
    <col min="8966" max="8972" width="13.6640625" customWidth="1"/>
    <col min="8973" max="8973" width="12.5546875" customWidth="1"/>
    <col min="8974" max="8974" width="11.88671875" customWidth="1"/>
    <col min="9217" max="9217" width="5.44140625" customWidth="1"/>
    <col min="9218" max="9218" width="22" customWidth="1"/>
    <col min="9219" max="9219" width="17" customWidth="1"/>
    <col min="9220" max="9220" width="13.6640625" customWidth="1"/>
    <col min="9221" max="9221" width="15.88671875" customWidth="1"/>
    <col min="9222" max="9228" width="13.6640625" customWidth="1"/>
    <col min="9229" max="9229" width="12.5546875" customWidth="1"/>
    <col min="9230" max="9230" width="11.88671875" customWidth="1"/>
    <col min="9473" max="9473" width="5.44140625" customWidth="1"/>
    <col min="9474" max="9474" width="22" customWidth="1"/>
    <col min="9475" max="9475" width="17" customWidth="1"/>
    <col min="9476" max="9476" width="13.6640625" customWidth="1"/>
    <col min="9477" max="9477" width="15.88671875" customWidth="1"/>
    <col min="9478" max="9484" width="13.6640625" customWidth="1"/>
    <col min="9485" max="9485" width="12.5546875" customWidth="1"/>
    <col min="9486" max="9486" width="11.88671875" customWidth="1"/>
    <col min="9729" max="9729" width="5.44140625" customWidth="1"/>
    <col min="9730" max="9730" width="22" customWidth="1"/>
    <col min="9731" max="9731" width="17" customWidth="1"/>
    <col min="9732" max="9732" width="13.6640625" customWidth="1"/>
    <col min="9733" max="9733" width="15.88671875" customWidth="1"/>
    <col min="9734" max="9740" width="13.6640625" customWidth="1"/>
    <col min="9741" max="9741" width="12.5546875" customWidth="1"/>
    <col min="9742" max="9742" width="11.88671875" customWidth="1"/>
    <col min="9985" max="9985" width="5.44140625" customWidth="1"/>
    <col min="9986" max="9986" width="22" customWidth="1"/>
    <col min="9987" max="9987" width="17" customWidth="1"/>
    <col min="9988" max="9988" width="13.6640625" customWidth="1"/>
    <col min="9989" max="9989" width="15.88671875" customWidth="1"/>
    <col min="9990" max="9996" width="13.6640625" customWidth="1"/>
    <col min="9997" max="9997" width="12.5546875" customWidth="1"/>
    <col min="9998" max="9998" width="11.88671875" customWidth="1"/>
    <col min="10241" max="10241" width="5.44140625" customWidth="1"/>
    <col min="10242" max="10242" width="22" customWidth="1"/>
    <col min="10243" max="10243" width="17" customWidth="1"/>
    <col min="10244" max="10244" width="13.6640625" customWidth="1"/>
    <col min="10245" max="10245" width="15.88671875" customWidth="1"/>
    <col min="10246" max="10252" width="13.6640625" customWidth="1"/>
    <col min="10253" max="10253" width="12.5546875" customWidth="1"/>
    <col min="10254" max="10254" width="11.88671875" customWidth="1"/>
    <col min="10497" max="10497" width="5.44140625" customWidth="1"/>
    <col min="10498" max="10498" width="22" customWidth="1"/>
    <col min="10499" max="10499" width="17" customWidth="1"/>
    <col min="10500" max="10500" width="13.6640625" customWidth="1"/>
    <col min="10501" max="10501" width="15.88671875" customWidth="1"/>
    <col min="10502" max="10508" width="13.6640625" customWidth="1"/>
    <col min="10509" max="10509" width="12.5546875" customWidth="1"/>
    <col min="10510" max="10510" width="11.88671875" customWidth="1"/>
    <col min="10753" max="10753" width="5.44140625" customWidth="1"/>
    <col min="10754" max="10754" width="22" customWidth="1"/>
    <col min="10755" max="10755" width="17" customWidth="1"/>
    <col min="10756" max="10756" width="13.6640625" customWidth="1"/>
    <col min="10757" max="10757" width="15.88671875" customWidth="1"/>
    <col min="10758" max="10764" width="13.6640625" customWidth="1"/>
    <col min="10765" max="10765" width="12.5546875" customWidth="1"/>
    <col min="10766" max="10766" width="11.88671875" customWidth="1"/>
    <col min="11009" max="11009" width="5.44140625" customWidth="1"/>
    <col min="11010" max="11010" width="22" customWidth="1"/>
    <col min="11011" max="11011" width="17" customWidth="1"/>
    <col min="11012" max="11012" width="13.6640625" customWidth="1"/>
    <col min="11013" max="11013" width="15.88671875" customWidth="1"/>
    <col min="11014" max="11020" width="13.6640625" customWidth="1"/>
    <col min="11021" max="11021" width="12.5546875" customWidth="1"/>
    <col min="11022" max="11022" width="11.88671875" customWidth="1"/>
    <col min="11265" max="11265" width="5.44140625" customWidth="1"/>
    <col min="11266" max="11266" width="22" customWidth="1"/>
    <col min="11267" max="11267" width="17" customWidth="1"/>
    <col min="11268" max="11268" width="13.6640625" customWidth="1"/>
    <col min="11269" max="11269" width="15.88671875" customWidth="1"/>
    <col min="11270" max="11276" width="13.6640625" customWidth="1"/>
    <col min="11277" max="11277" width="12.5546875" customWidth="1"/>
    <col min="11278" max="11278" width="11.88671875" customWidth="1"/>
    <col min="11521" max="11521" width="5.44140625" customWidth="1"/>
    <col min="11522" max="11522" width="22" customWidth="1"/>
    <col min="11523" max="11523" width="17" customWidth="1"/>
    <col min="11524" max="11524" width="13.6640625" customWidth="1"/>
    <col min="11525" max="11525" width="15.88671875" customWidth="1"/>
    <col min="11526" max="11532" width="13.6640625" customWidth="1"/>
    <col min="11533" max="11533" width="12.5546875" customWidth="1"/>
    <col min="11534" max="11534" width="11.88671875" customWidth="1"/>
    <col min="11777" max="11777" width="5.44140625" customWidth="1"/>
    <col min="11778" max="11778" width="22" customWidth="1"/>
    <col min="11779" max="11779" width="17" customWidth="1"/>
    <col min="11780" max="11780" width="13.6640625" customWidth="1"/>
    <col min="11781" max="11781" width="15.88671875" customWidth="1"/>
    <col min="11782" max="11788" width="13.6640625" customWidth="1"/>
    <col min="11789" max="11789" width="12.5546875" customWidth="1"/>
    <col min="11790" max="11790" width="11.88671875" customWidth="1"/>
    <col min="12033" max="12033" width="5.44140625" customWidth="1"/>
    <col min="12034" max="12034" width="22" customWidth="1"/>
    <col min="12035" max="12035" width="17" customWidth="1"/>
    <col min="12036" max="12036" width="13.6640625" customWidth="1"/>
    <col min="12037" max="12037" width="15.88671875" customWidth="1"/>
    <col min="12038" max="12044" width="13.6640625" customWidth="1"/>
    <col min="12045" max="12045" width="12.5546875" customWidth="1"/>
    <col min="12046" max="12046" width="11.88671875" customWidth="1"/>
    <col min="12289" max="12289" width="5.44140625" customWidth="1"/>
    <col min="12290" max="12290" width="22" customWidth="1"/>
    <col min="12291" max="12291" width="17" customWidth="1"/>
    <col min="12292" max="12292" width="13.6640625" customWidth="1"/>
    <col min="12293" max="12293" width="15.88671875" customWidth="1"/>
    <col min="12294" max="12300" width="13.6640625" customWidth="1"/>
    <col min="12301" max="12301" width="12.5546875" customWidth="1"/>
    <col min="12302" max="12302" width="11.88671875" customWidth="1"/>
    <col min="12545" max="12545" width="5.44140625" customWidth="1"/>
    <col min="12546" max="12546" width="22" customWidth="1"/>
    <col min="12547" max="12547" width="17" customWidth="1"/>
    <col min="12548" max="12548" width="13.6640625" customWidth="1"/>
    <col min="12549" max="12549" width="15.88671875" customWidth="1"/>
    <col min="12550" max="12556" width="13.6640625" customWidth="1"/>
    <col min="12557" max="12557" width="12.5546875" customWidth="1"/>
    <col min="12558" max="12558" width="11.88671875" customWidth="1"/>
    <col min="12801" max="12801" width="5.44140625" customWidth="1"/>
    <col min="12802" max="12802" width="22" customWidth="1"/>
    <col min="12803" max="12803" width="17" customWidth="1"/>
    <col min="12804" max="12804" width="13.6640625" customWidth="1"/>
    <col min="12805" max="12805" width="15.88671875" customWidth="1"/>
    <col min="12806" max="12812" width="13.6640625" customWidth="1"/>
    <col min="12813" max="12813" width="12.5546875" customWidth="1"/>
    <col min="12814" max="12814" width="11.88671875" customWidth="1"/>
    <col min="13057" max="13057" width="5.44140625" customWidth="1"/>
    <col min="13058" max="13058" width="22" customWidth="1"/>
    <col min="13059" max="13059" width="17" customWidth="1"/>
    <col min="13060" max="13060" width="13.6640625" customWidth="1"/>
    <col min="13061" max="13061" width="15.88671875" customWidth="1"/>
    <col min="13062" max="13068" width="13.6640625" customWidth="1"/>
    <col min="13069" max="13069" width="12.5546875" customWidth="1"/>
    <col min="13070" max="13070" width="11.88671875" customWidth="1"/>
    <col min="13313" max="13313" width="5.44140625" customWidth="1"/>
    <col min="13314" max="13314" width="22" customWidth="1"/>
    <col min="13315" max="13315" width="17" customWidth="1"/>
    <col min="13316" max="13316" width="13.6640625" customWidth="1"/>
    <col min="13317" max="13317" width="15.88671875" customWidth="1"/>
    <col min="13318" max="13324" width="13.6640625" customWidth="1"/>
    <col min="13325" max="13325" width="12.5546875" customWidth="1"/>
    <col min="13326" max="13326" width="11.88671875" customWidth="1"/>
    <col min="13569" max="13569" width="5.44140625" customWidth="1"/>
    <col min="13570" max="13570" width="22" customWidth="1"/>
    <col min="13571" max="13571" width="17" customWidth="1"/>
    <col min="13572" max="13572" width="13.6640625" customWidth="1"/>
    <col min="13573" max="13573" width="15.88671875" customWidth="1"/>
    <col min="13574" max="13580" width="13.6640625" customWidth="1"/>
    <col min="13581" max="13581" width="12.5546875" customWidth="1"/>
    <col min="13582" max="13582" width="11.88671875" customWidth="1"/>
    <col min="13825" max="13825" width="5.44140625" customWidth="1"/>
    <col min="13826" max="13826" width="22" customWidth="1"/>
    <col min="13827" max="13827" width="17" customWidth="1"/>
    <col min="13828" max="13828" width="13.6640625" customWidth="1"/>
    <col min="13829" max="13829" width="15.88671875" customWidth="1"/>
    <col min="13830" max="13836" width="13.6640625" customWidth="1"/>
    <col min="13837" max="13837" width="12.5546875" customWidth="1"/>
    <col min="13838" max="13838" width="11.88671875" customWidth="1"/>
    <col min="14081" max="14081" width="5.44140625" customWidth="1"/>
    <col min="14082" max="14082" width="22" customWidth="1"/>
    <col min="14083" max="14083" width="17" customWidth="1"/>
    <col min="14084" max="14084" width="13.6640625" customWidth="1"/>
    <col min="14085" max="14085" width="15.88671875" customWidth="1"/>
    <col min="14086" max="14092" width="13.6640625" customWidth="1"/>
    <col min="14093" max="14093" width="12.5546875" customWidth="1"/>
    <col min="14094" max="14094" width="11.88671875" customWidth="1"/>
    <col min="14337" max="14337" width="5.44140625" customWidth="1"/>
    <col min="14338" max="14338" width="22" customWidth="1"/>
    <col min="14339" max="14339" width="17" customWidth="1"/>
    <col min="14340" max="14340" width="13.6640625" customWidth="1"/>
    <col min="14341" max="14341" width="15.88671875" customWidth="1"/>
    <col min="14342" max="14348" width="13.6640625" customWidth="1"/>
    <col min="14349" max="14349" width="12.5546875" customWidth="1"/>
    <col min="14350" max="14350" width="11.88671875" customWidth="1"/>
    <col min="14593" max="14593" width="5.44140625" customWidth="1"/>
    <col min="14594" max="14594" width="22" customWidth="1"/>
    <col min="14595" max="14595" width="17" customWidth="1"/>
    <col min="14596" max="14596" width="13.6640625" customWidth="1"/>
    <col min="14597" max="14597" width="15.88671875" customWidth="1"/>
    <col min="14598" max="14604" width="13.6640625" customWidth="1"/>
    <col min="14605" max="14605" width="12.5546875" customWidth="1"/>
    <col min="14606" max="14606" width="11.88671875" customWidth="1"/>
    <col min="14849" max="14849" width="5.44140625" customWidth="1"/>
    <col min="14850" max="14850" width="22" customWidth="1"/>
    <col min="14851" max="14851" width="17" customWidth="1"/>
    <col min="14852" max="14852" width="13.6640625" customWidth="1"/>
    <col min="14853" max="14853" width="15.88671875" customWidth="1"/>
    <col min="14854" max="14860" width="13.6640625" customWidth="1"/>
    <col min="14861" max="14861" width="12.5546875" customWidth="1"/>
    <col min="14862" max="14862" width="11.88671875" customWidth="1"/>
    <col min="15105" max="15105" width="5.44140625" customWidth="1"/>
    <col min="15106" max="15106" width="22" customWidth="1"/>
    <col min="15107" max="15107" width="17" customWidth="1"/>
    <col min="15108" max="15108" width="13.6640625" customWidth="1"/>
    <col min="15109" max="15109" width="15.88671875" customWidth="1"/>
    <col min="15110" max="15116" width="13.6640625" customWidth="1"/>
    <col min="15117" max="15117" width="12.5546875" customWidth="1"/>
    <col min="15118" max="15118" width="11.88671875" customWidth="1"/>
    <col min="15361" max="15361" width="5.44140625" customWidth="1"/>
    <col min="15362" max="15362" width="22" customWidth="1"/>
    <col min="15363" max="15363" width="17" customWidth="1"/>
    <col min="15364" max="15364" width="13.6640625" customWidth="1"/>
    <col min="15365" max="15365" width="15.88671875" customWidth="1"/>
    <col min="15366" max="15372" width="13.6640625" customWidth="1"/>
    <col min="15373" max="15373" width="12.5546875" customWidth="1"/>
    <col min="15374" max="15374" width="11.88671875" customWidth="1"/>
    <col min="15617" max="15617" width="5.44140625" customWidth="1"/>
    <col min="15618" max="15618" width="22" customWidth="1"/>
    <col min="15619" max="15619" width="17" customWidth="1"/>
    <col min="15620" max="15620" width="13.6640625" customWidth="1"/>
    <col min="15621" max="15621" width="15.88671875" customWidth="1"/>
    <col min="15622" max="15628" width="13.6640625" customWidth="1"/>
    <col min="15629" max="15629" width="12.5546875" customWidth="1"/>
    <col min="15630" max="15630" width="11.88671875" customWidth="1"/>
    <col min="15873" max="15873" width="5.44140625" customWidth="1"/>
    <col min="15874" max="15874" width="22" customWidth="1"/>
    <col min="15875" max="15875" width="17" customWidth="1"/>
    <col min="15876" max="15876" width="13.6640625" customWidth="1"/>
    <col min="15877" max="15877" width="15.88671875" customWidth="1"/>
    <col min="15878" max="15884" width="13.6640625" customWidth="1"/>
    <col min="15885" max="15885" width="12.5546875" customWidth="1"/>
    <col min="15886" max="15886" width="11.88671875" customWidth="1"/>
    <col min="16129" max="16129" width="5.44140625" customWidth="1"/>
    <col min="16130" max="16130" width="22" customWidth="1"/>
    <col min="16131" max="16131" width="17" customWidth="1"/>
    <col min="16132" max="16132" width="13.6640625" customWidth="1"/>
    <col min="16133" max="16133" width="15.88671875" customWidth="1"/>
    <col min="16134" max="16140" width="13.6640625" customWidth="1"/>
    <col min="16141" max="16141" width="12.5546875" customWidth="1"/>
    <col min="16142" max="16142" width="11.88671875" customWidth="1"/>
  </cols>
  <sheetData>
    <row r="1" spans="1:15" ht="15.6" x14ac:dyDescent="0.3">
      <c r="A1" s="1"/>
      <c r="B1" s="2" t="s">
        <v>67</v>
      </c>
      <c r="C1" s="3"/>
      <c r="D1" s="4" t="s">
        <v>71</v>
      </c>
      <c r="E1" s="5"/>
      <c r="F1" s="6"/>
      <c r="G1" s="95" t="s">
        <v>51</v>
      </c>
      <c r="H1" s="95"/>
      <c r="I1" s="95"/>
      <c r="J1" s="5"/>
      <c r="K1" s="5"/>
      <c r="L1" s="5"/>
      <c r="M1" s="6"/>
      <c r="N1" s="3"/>
      <c r="O1" s="11"/>
    </row>
    <row r="2" spans="1:15" ht="15.75" x14ac:dyDescent="0.25">
      <c r="A2" s="41"/>
      <c r="B2" s="169"/>
      <c r="C2" s="13"/>
      <c r="D2" s="168"/>
      <c r="E2" s="12"/>
      <c r="F2" s="11"/>
      <c r="G2" s="170"/>
      <c r="H2" s="170"/>
      <c r="I2" s="170"/>
      <c r="J2" s="12"/>
      <c r="K2" s="172" t="s">
        <v>66</v>
      </c>
      <c r="L2" s="172"/>
      <c r="M2" s="173"/>
      <c r="N2" s="13"/>
      <c r="O2" s="11"/>
    </row>
    <row r="3" spans="1:15" ht="15" thickBot="1" x14ac:dyDescent="0.35">
      <c r="A3" s="54"/>
      <c r="B3" s="8" t="s">
        <v>0</v>
      </c>
      <c r="C3" s="9"/>
      <c r="D3" s="10" t="s">
        <v>69</v>
      </c>
      <c r="E3" s="11"/>
      <c r="F3" s="12"/>
      <c r="G3" s="12"/>
      <c r="H3" s="12"/>
      <c r="I3" s="12"/>
      <c r="J3" s="12"/>
      <c r="K3" s="12"/>
      <c r="L3" s="12"/>
      <c r="M3" s="11"/>
      <c r="N3" s="13"/>
      <c r="O3" s="11"/>
    </row>
    <row r="4" spans="1:15" ht="15.75" thickBot="1" x14ac:dyDescent="0.3">
      <c r="A4" s="96"/>
      <c r="B4" s="97" t="s">
        <v>1</v>
      </c>
      <c r="C4" s="98" t="s">
        <v>2</v>
      </c>
      <c r="D4" s="99"/>
      <c r="E4" s="166"/>
      <c r="F4" s="167"/>
      <c r="G4" s="177" t="s">
        <v>3</v>
      </c>
      <c r="H4" s="177"/>
      <c r="I4" s="177"/>
      <c r="J4" s="177"/>
      <c r="K4" s="177"/>
      <c r="L4" s="177"/>
      <c r="M4" s="177"/>
      <c r="N4" s="178"/>
    </row>
    <row r="5" spans="1:15" ht="15.75" thickBot="1" x14ac:dyDescent="0.3">
      <c r="A5" s="21" t="s">
        <v>4</v>
      </c>
      <c r="B5" s="100"/>
      <c r="C5" s="101"/>
      <c r="D5" s="24">
        <v>1</v>
      </c>
      <c r="E5" s="24">
        <v>2</v>
      </c>
      <c r="F5" s="24">
        <v>3</v>
      </c>
      <c r="G5" s="24">
        <v>4</v>
      </c>
      <c r="H5" s="24">
        <v>5</v>
      </c>
      <c r="I5" s="24">
        <v>6</v>
      </c>
      <c r="J5" s="24">
        <v>7</v>
      </c>
      <c r="K5" s="24">
        <v>8</v>
      </c>
      <c r="L5" s="24">
        <v>9</v>
      </c>
      <c r="M5" s="26">
        <v>10</v>
      </c>
      <c r="N5" s="26">
        <v>11</v>
      </c>
    </row>
    <row r="6" spans="1:15" ht="15.6" x14ac:dyDescent="0.3">
      <c r="A6" s="102" t="s">
        <v>5</v>
      </c>
      <c r="B6" s="103" t="s">
        <v>6</v>
      </c>
      <c r="C6" s="104" t="s">
        <v>7</v>
      </c>
      <c r="D6" s="105"/>
      <c r="E6" s="39"/>
      <c r="F6" s="30"/>
      <c r="G6" s="174">
        <f>523756.8+(523756.8*1.1%)+10000+5733+(545251*4.5%)+10000+5340+12000+12000+5160</f>
        <v>614287.41980000003</v>
      </c>
      <c r="H6" s="30">
        <f>535988.25+(535988.25*1.1%)+10000+5733+(557617*4.5%)+10000+5340+12000+12000+5160</f>
        <v>627209.88575000002</v>
      </c>
      <c r="I6" s="30">
        <f>548219.7+(548219.7*1.1%)+10000+5733+(569983*4.5%)+10000+5340+12000+12000+5160</f>
        <v>640132.35169999988</v>
      </c>
      <c r="J6" s="30">
        <f>560451.15+(560451.15*1.1%)+10000+5733+(582349*4.5%)+10000+5340+12000+12000+5160</f>
        <v>653054.81764999998</v>
      </c>
      <c r="K6" s="31">
        <f>576018.45+(576018.45*1.1%)+10000+5733+(598088*4.5%)+10000+5340+12000+12000+5160</f>
        <v>669501.61294999986</v>
      </c>
      <c r="L6" s="32">
        <f>591018.45+(591018.45*1.1%)+10000+5733+(613253*4.5%)+10000+5340+12000+12000+5160</f>
        <v>685349.03794999991</v>
      </c>
      <c r="M6" s="33">
        <f>606018.45+(606018.45*1.1%)+10000+5733+(628418*4.5%)+10000+5340+12000+12000+5160</f>
        <v>701196.46294999984</v>
      </c>
      <c r="N6" s="34">
        <f>656696+12500+10000+6340+12000+12000+5160</f>
        <v>714696</v>
      </c>
    </row>
    <row r="7" spans="1:15" x14ac:dyDescent="0.3">
      <c r="A7" s="106"/>
      <c r="B7" s="107" t="s">
        <v>8</v>
      </c>
      <c r="C7" s="108" t="s">
        <v>52</v>
      </c>
      <c r="D7" s="38"/>
      <c r="E7" s="39"/>
      <c r="F7" s="39"/>
      <c r="G7" s="109">
        <f t="shared" ref="G7:K7" si="0">G8*12*0.47/146</f>
        <v>1345.2385020314975</v>
      </c>
      <c r="H7" s="109">
        <f t="shared" si="0"/>
        <v>1373.5376307077624</v>
      </c>
      <c r="I7" s="109">
        <f t="shared" si="0"/>
        <v>1401.8367593840271</v>
      </c>
      <c r="J7" s="109">
        <f t="shared" si="0"/>
        <v>1430.1358880602925</v>
      </c>
      <c r="K7" s="109">
        <f t="shared" si="0"/>
        <v>1466.1530057147511</v>
      </c>
      <c r="L7" s="110">
        <f>L8*12*0.47/146</f>
        <v>1500.8575521223554</v>
      </c>
      <c r="M7" s="111">
        <f>M8*12*0.47/146</f>
        <v>1535.5620985299597</v>
      </c>
      <c r="N7" s="112">
        <f>N8*12*0.47/146</f>
        <v>1565.1249650545149</v>
      </c>
    </row>
    <row r="8" spans="1:15" x14ac:dyDescent="0.3">
      <c r="A8" s="106"/>
      <c r="B8" s="107" t="s">
        <v>9</v>
      </c>
      <c r="C8" s="108" t="s">
        <v>53</v>
      </c>
      <c r="D8" s="38"/>
      <c r="E8" s="39"/>
      <c r="F8" s="39"/>
      <c r="G8" s="39">
        <f t="shared" ref="G8:K8" si="1">(G6*100)/(147*12)</f>
        <v>34823.549875283446</v>
      </c>
      <c r="H8" s="39">
        <f t="shared" si="1"/>
        <v>35556.115972222222</v>
      </c>
      <c r="I8" s="39">
        <f t="shared" si="1"/>
        <v>36288.68206916099</v>
      </c>
      <c r="J8" s="39">
        <f t="shared" si="1"/>
        <v>37021.248166099773</v>
      </c>
      <c r="K8" s="39">
        <f t="shared" si="1"/>
        <v>37953.606176303845</v>
      </c>
      <c r="L8" s="113">
        <f>(L6*100)/(147*12)</f>
        <v>38851.986278344666</v>
      </c>
      <c r="M8" s="114">
        <f>(M6*100)/(147*12)</f>
        <v>39750.36638038548</v>
      </c>
      <c r="N8" s="115">
        <f>(N6*100)/(147*12)</f>
        <v>40515.646258503402</v>
      </c>
    </row>
    <row r="9" spans="1:15" x14ac:dyDescent="0.3">
      <c r="A9" s="106"/>
      <c r="B9" s="107" t="s">
        <v>10</v>
      </c>
      <c r="C9" s="108" t="s">
        <v>54</v>
      </c>
      <c r="D9" s="38"/>
      <c r="E9" s="39"/>
      <c r="F9" s="39"/>
      <c r="G9" s="39">
        <f t="shared" ref="G9:K9" si="2">G8*47.08/52.14</f>
        <v>31444.049254475347</v>
      </c>
      <c r="H9" s="39">
        <f t="shared" si="2"/>
        <v>32105.522439052973</v>
      </c>
      <c r="I9" s="39">
        <f t="shared" si="2"/>
        <v>32766.995623630599</v>
      </c>
      <c r="J9" s="39">
        <f t="shared" si="2"/>
        <v>33428.468808208228</v>
      </c>
      <c r="K9" s="39">
        <f t="shared" si="2"/>
        <v>34270.344817422032</v>
      </c>
      <c r="L9" s="113">
        <f>L8*47.08/52.14</f>
        <v>35081.540352598138</v>
      </c>
      <c r="M9" s="114">
        <f>M8*47.08/52.14</f>
        <v>35892.73588777423</v>
      </c>
      <c r="N9" s="115">
        <f>N8*47.08/52.14</f>
        <v>36583.748098395474</v>
      </c>
    </row>
    <row r="10" spans="1:15" x14ac:dyDescent="0.3">
      <c r="A10" s="106"/>
      <c r="B10" s="107" t="s">
        <v>11</v>
      </c>
      <c r="C10" s="116" t="s">
        <v>55</v>
      </c>
      <c r="D10" s="44"/>
      <c r="E10" s="45"/>
      <c r="F10" s="45"/>
      <c r="G10" s="45">
        <f t="shared" ref="G10:K10" si="3">G6/1752</f>
        <v>350.62067340182648</v>
      </c>
      <c r="H10" s="45">
        <f t="shared" si="3"/>
        <v>357.99651013127857</v>
      </c>
      <c r="I10" s="45">
        <f t="shared" si="3"/>
        <v>365.37234686073054</v>
      </c>
      <c r="J10" s="45">
        <f t="shared" si="3"/>
        <v>372.74818359018263</v>
      </c>
      <c r="K10" s="45">
        <f t="shared" si="3"/>
        <v>382.13562382990858</v>
      </c>
      <c r="L10" s="117">
        <f>L6/1752</f>
        <v>391.18095773401819</v>
      </c>
      <c r="M10" s="118">
        <f>M6/1752</f>
        <v>400.22629163812775</v>
      </c>
      <c r="N10" s="119">
        <f>N6/1752</f>
        <v>407.93150684931504</v>
      </c>
    </row>
    <row r="11" spans="1:15" ht="15" x14ac:dyDescent="0.25">
      <c r="A11" s="106"/>
      <c r="B11" s="120" t="s">
        <v>12</v>
      </c>
      <c r="C11" s="116" t="s">
        <v>56</v>
      </c>
      <c r="D11" s="44"/>
      <c r="E11" s="45"/>
      <c r="F11" s="45"/>
      <c r="G11" s="45">
        <f t="shared" ref="G11:K11" si="4">G6/1752*1.65</f>
        <v>578.52411111301365</v>
      </c>
      <c r="H11" s="45">
        <f t="shared" si="4"/>
        <v>590.69424171660955</v>
      </c>
      <c r="I11" s="45">
        <f t="shared" si="4"/>
        <v>602.86437232020535</v>
      </c>
      <c r="J11" s="45">
        <f t="shared" si="4"/>
        <v>615.03450292380137</v>
      </c>
      <c r="K11" s="45">
        <f t="shared" si="4"/>
        <v>630.52377931934916</v>
      </c>
      <c r="L11" s="117">
        <f>L6/1752*1.65</f>
        <v>645.44858026113002</v>
      </c>
      <c r="M11" s="118">
        <f>M6/1752*1.65</f>
        <v>660.37338120291076</v>
      </c>
      <c r="N11" s="119">
        <f>N6/1752*1.65</f>
        <v>673.08698630136973</v>
      </c>
    </row>
    <row r="12" spans="1:15" x14ac:dyDescent="0.3">
      <c r="A12" s="106"/>
      <c r="B12" s="48" t="s">
        <v>42</v>
      </c>
      <c r="C12" s="116" t="s">
        <v>57</v>
      </c>
      <c r="D12" s="44"/>
      <c r="E12" s="45"/>
      <c r="F12" s="45"/>
      <c r="G12" s="45">
        <f t="shared" ref="G12:K12" si="5">G8/162.5</f>
        <v>214.29876846328276</v>
      </c>
      <c r="H12" s="45">
        <f t="shared" si="5"/>
        <v>218.80686752136751</v>
      </c>
      <c r="I12" s="45">
        <f t="shared" si="5"/>
        <v>223.31496657945226</v>
      </c>
      <c r="J12" s="45">
        <f t="shared" si="5"/>
        <v>227.82306563753707</v>
      </c>
      <c r="K12" s="45">
        <f t="shared" si="5"/>
        <v>233.56065339263904</v>
      </c>
      <c r="L12" s="117">
        <f>L8/162.5</f>
        <v>239.08914632827486</v>
      </c>
      <c r="M12" s="118">
        <f>M8/162.5</f>
        <v>244.61763926391063</v>
      </c>
      <c r="N12" s="119">
        <f>N8/162.5</f>
        <v>249.32705389848249</v>
      </c>
    </row>
    <row r="13" spans="1:15" ht="15" x14ac:dyDescent="0.25">
      <c r="A13" s="106"/>
      <c r="B13" s="42"/>
      <c r="C13" s="116" t="s">
        <v>58</v>
      </c>
      <c r="D13" s="44"/>
      <c r="E13" s="45"/>
      <c r="F13" s="45"/>
      <c r="G13" s="45">
        <f t="shared" ref="G13:K13" si="6">G12*1.5</f>
        <v>321.44815269492415</v>
      </c>
      <c r="H13" s="45">
        <f t="shared" si="6"/>
        <v>328.21030128205126</v>
      </c>
      <c r="I13" s="45">
        <f t="shared" si="6"/>
        <v>334.97244986917838</v>
      </c>
      <c r="J13" s="45">
        <f t="shared" si="6"/>
        <v>341.7345984563056</v>
      </c>
      <c r="K13" s="45">
        <f t="shared" si="6"/>
        <v>350.34098008895853</v>
      </c>
      <c r="L13" s="117">
        <f>L12*1.5</f>
        <v>358.6337194924123</v>
      </c>
      <c r="M13" s="118">
        <f>M12*1.5</f>
        <v>366.92645889586595</v>
      </c>
      <c r="N13" s="119">
        <f>N12*1.5</f>
        <v>373.99058084772372</v>
      </c>
    </row>
    <row r="14" spans="1:15" ht="15.75" thickBot="1" x14ac:dyDescent="0.3">
      <c r="A14" s="106"/>
      <c r="B14" s="121"/>
      <c r="C14" s="122" t="s">
        <v>59</v>
      </c>
      <c r="D14" s="51"/>
      <c r="E14" s="52"/>
      <c r="F14" s="52"/>
      <c r="G14" s="52">
        <f t="shared" ref="G14:K14" si="7">G12*2</f>
        <v>428.59753692656551</v>
      </c>
      <c r="H14" s="52">
        <f t="shared" si="7"/>
        <v>437.61373504273502</v>
      </c>
      <c r="I14" s="52">
        <f t="shared" si="7"/>
        <v>446.62993315890452</v>
      </c>
      <c r="J14" s="52">
        <f t="shared" si="7"/>
        <v>455.64613127507414</v>
      </c>
      <c r="K14" s="52">
        <f t="shared" si="7"/>
        <v>467.12130678527808</v>
      </c>
      <c r="L14" s="123">
        <f>L12*2</f>
        <v>478.17829265654973</v>
      </c>
      <c r="M14" s="124">
        <f>M12*2</f>
        <v>489.23527852782127</v>
      </c>
      <c r="N14" s="125">
        <f>N12*2</f>
        <v>498.65410779696498</v>
      </c>
    </row>
    <row r="15" spans="1:15" ht="15.6" x14ac:dyDescent="0.3">
      <c r="A15" s="126" t="s">
        <v>13</v>
      </c>
      <c r="B15" s="127" t="s">
        <v>14</v>
      </c>
      <c r="C15" s="104" t="s">
        <v>7</v>
      </c>
      <c r="D15" s="38"/>
      <c r="E15" s="160"/>
      <c r="F15" s="174">
        <f>490413+(490413*1.1%)+10000+5733+(511541*4.5%)+10000+5340+12000+12000+5160</f>
        <v>579059.88800000004</v>
      </c>
      <c r="G15" s="30">
        <f>502261.2+(502261.2*1.1%)+10000+5733+(523519*4.5%)+10000+5340+12000+12000+5160</f>
        <v>591577.42819999997</v>
      </c>
      <c r="H15" s="30">
        <f>514107.3+(514107.3*1.1%)+10000+5733+(535495*4.5%)+10000+5340+12000+12000+5160</f>
        <v>604092.75529999996</v>
      </c>
      <c r="I15" s="30">
        <f>525953.4+(525953.4*1.1%)+10000+5733+(547472*4.5%)+10000+5340+12000+12000+5160</f>
        <v>616608.1274</v>
      </c>
      <c r="J15" s="30">
        <f>537800.55+(537800.55*1.1%)+10000+5733+(559449*4.5%)+10000+5340+12000+12000+5160</f>
        <v>629124.56105000002</v>
      </c>
      <c r="K15" s="31">
        <f>553330.05+(553330.05*1.1%)+10000+5733+(575150*4.5%)+10000+5340+12000+12000+5160</f>
        <v>645531.43055000005</v>
      </c>
      <c r="L15" s="33">
        <f>568330.05+(568330.05*1.1%)+10000+5733+(590315*4.5%)+10000+5340+12000+12000+5160</f>
        <v>661378.85555000009</v>
      </c>
      <c r="M15" s="34">
        <f>616879+12500+10000+6340+12000+12000+5160</f>
        <v>674879</v>
      </c>
    </row>
    <row r="16" spans="1:15" x14ac:dyDescent="0.3">
      <c r="A16" s="128"/>
      <c r="B16" s="127" t="s">
        <v>15</v>
      </c>
      <c r="C16" s="108" t="s">
        <v>52</v>
      </c>
      <c r="D16" s="38"/>
      <c r="E16" s="40"/>
      <c r="F16" s="130">
        <f t="shared" ref="F16:K16" si="8">F17*12*0.47/146</f>
        <v>1268.093129065325</v>
      </c>
      <c r="G16" s="130">
        <f t="shared" si="8"/>
        <v>1295.5055039325318</v>
      </c>
      <c r="H16" s="130">
        <f t="shared" si="8"/>
        <v>1322.9130322942874</v>
      </c>
      <c r="I16" s="130">
        <f t="shared" si="8"/>
        <v>1350.3206592023109</v>
      </c>
      <c r="J16" s="129">
        <f t="shared" si="8"/>
        <v>1377.7306108167925</v>
      </c>
      <c r="K16" s="130">
        <f t="shared" si="8"/>
        <v>1413.6602942805889</v>
      </c>
      <c r="L16" s="110">
        <f>L17*12*0.47/146</f>
        <v>1448.364840688193</v>
      </c>
      <c r="M16" s="111">
        <f>M17*12*0.47/146</f>
        <v>1477.9290373683721</v>
      </c>
    </row>
    <row r="17" spans="1:13" x14ac:dyDescent="0.3">
      <c r="A17" s="128"/>
      <c r="B17" s="127" t="s">
        <v>16</v>
      </c>
      <c r="C17" s="108" t="s">
        <v>53</v>
      </c>
      <c r="D17" s="38"/>
      <c r="E17" s="40"/>
      <c r="F17" s="38">
        <f t="shared" ref="F17:K17" si="9">(F15*100)/(147*12)</f>
        <v>32826.524263038555</v>
      </c>
      <c r="G17" s="38">
        <f t="shared" si="9"/>
        <v>33536.135385487527</v>
      </c>
      <c r="H17" s="38">
        <f t="shared" si="9"/>
        <v>34245.62104875283</v>
      </c>
      <c r="I17" s="38">
        <f t="shared" si="9"/>
        <v>34955.109263038546</v>
      </c>
      <c r="J17" s="40">
        <f t="shared" si="9"/>
        <v>35664.657655895695</v>
      </c>
      <c r="K17" s="38">
        <f t="shared" si="9"/>
        <v>36594.752298752835</v>
      </c>
      <c r="L17" s="113">
        <f>(L15*100)/(147*12)</f>
        <v>37493.132400793656</v>
      </c>
      <c r="M17" s="114">
        <f>(M15*100)/(147*12)</f>
        <v>38258.446712018143</v>
      </c>
    </row>
    <row r="18" spans="1:13" x14ac:dyDescent="0.3">
      <c r="A18" s="128"/>
      <c r="B18" s="127" t="s">
        <v>17</v>
      </c>
      <c r="C18" s="108" t="s">
        <v>54</v>
      </c>
      <c r="D18" s="38"/>
      <c r="E18" s="40"/>
      <c r="F18" s="38">
        <f t="shared" ref="F18:K18" si="10">F17*47.08/52.14</f>
        <v>29640.827815570676</v>
      </c>
      <c r="G18" s="38">
        <f t="shared" si="10"/>
        <v>30281.573723604772</v>
      </c>
      <c r="H18" s="38">
        <f t="shared" si="10"/>
        <v>30922.206347819007</v>
      </c>
      <c r="I18" s="38">
        <f t="shared" si="10"/>
        <v>31562.841275486284</v>
      </c>
      <c r="J18" s="40">
        <f t="shared" si="10"/>
        <v>32203.530541610457</v>
      </c>
      <c r="K18" s="38">
        <f t="shared" si="10"/>
        <v>33043.362835160791</v>
      </c>
      <c r="L18" s="113">
        <f>L17*47.08/52.14</f>
        <v>33854.558370336883</v>
      </c>
      <c r="M18" s="114">
        <f>M17*47.08/52.14</f>
        <v>34545.601672455203</v>
      </c>
    </row>
    <row r="19" spans="1:13" ht="15" x14ac:dyDescent="0.25">
      <c r="A19" s="128"/>
      <c r="B19" s="127" t="s">
        <v>18</v>
      </c>
      <c r="C19" s="116" t="s">
        <v>55</v>
      </c>
      <c r="D19" s="44"/>
      <c r="E19" s="46"/>
      <c r="F19" s="44">
        <f t="shared" ref="F19:K19" si="11">F15/1752</f>
        <v>330.51363470319637</v>
      </c>
      <c r="G19" s="44">
        <f t="shared" si="11"/>
        <v>337.65834942922373</v>
      </c>
      <c r="H19" s="44">
        <f t="shared" si="11"/>
        <v>344.80180097031962</v>
      </c>
      <c r="I19" s="44">
        <f t="shared" si="11"/>
        <v>351.94527819634703</v>
      </c>
      <c r="J19" s="46">
        <f t="shared" si="11"/>
        <v>359.08936132990868</v>
      </c>
      <c r="K19" s="44">
        <f t="shared" si="11"/>
        <v>368.45401287100458</v>
      </c>
      <c r="L19" s="117">
        <f>L15/1752</f>
        <v>377.49934677511419</v>
      </c>
      <c r="M19" s="118">
        <f>M15/1752</f>
        <v>385.20490867579906</v>
      </c>
    </row>
    <row r="20" spans="1:13" ht="15" x14ac:dyDescent="0.25">
      <c r="A20" s="128"/>
      <c r="B20" s="127" t="s">
        <v>20</v>
      </c>
      <c r="C20" s="116" t="s">
        <v>56</v>
      </c>
      <c r="D20" s="44"/>
      <c r="E20" s="46"/>
      <c r="F20" s="44">
        <f t="shared" ref="F20:K20" si="12">F15/1752*1.65</f>
        <v>545.34749726027394</v>
      </c>
      <c r="G20" s="44">
        <f t="shared" si="12"/>
        <v>557.13627655821915</v>
      </c>
      <c r="H20" s="44">
        <f t="shared" si="12"/>
        <v>568.92297160102737</v>
      </c>
      <c r="I20" s="44">
        <f t="shared" si="12"/>
        <v>580.70970902397255</v>
      </c>
      <c r="J20" s="46">
        <f t="shared" si="12"/>
        <v>592.49744619434932</v>
      </c>
      <c r="K20" s="44">
        <f t="shared" si="12"/>
        <v>607.94912123715756</v>
      </c>
      <c r="L20" s="117">
        <f>L15/1752*1.65</f>
        <v>622.87392217893841</v>
      </c>
      <c r="M20" s="118">
        <f>M15/1752*1.65</f>
        <v>635.58809931506846</v>
      </c>
    </row>
    <row r="21" spans="1:13" x14ac:dyDescent="0.3">
      <c r="A21" s="128"/>
      <c r="B21" s="127" t="s">
        <v>21</v>
      </c>
      <c r="C21" s="116" t="s">
        <v>57</v>
      </c>
      <c r="D21" s="44"/>
      <c r="E21" s="46"/>
      <c r="F21" s="44">
        <f t="shared" ref="F21:K21" si="13">F17/162.5</f>
        <v>202.00938008023726</v>
      </c>
      <c r="G21" s="44">
        <f t="shared" si="13"/>
        <v>206.37621775684633</v>
      </c>
      <c r="H21" s="44">
        <f t="shared" si="13"/>
        <v>210.74228337694049</v>
      </c>
      <c r="I21" s="44">
        <f t="shared" si="13"/>
        <v>215.10836469562182</v>
      </c>
      <c r="J21" s="46">
        <f t="shared" si="13"/>
        <v>219.47481634397352</v>
      </c>
      <c r="K21" s="44">
        <f t="shared" si="13"/>
        <v>225.19847568463283</v>
      </c>
      <c r="L21" s="117">
        <f>L17/162.5</f>
        <v>230.72696862026865</v>
      </c>
      <c r="M21" s="118">
        <f>M17/162.5</f>
        <v>235.43659515088089</v>
      </c>
    </row>
    <row r="22" spans="1:13" x14ac:dyDescent="0.3">
      <c r="A22" s="128"/>
      <c r="B22" s="127" t="s">
        <v>22</v>
      </c>
      <c r="C22" s="116" t="s">
        <v>58</v>
      </c>
      <c r="D22" s="44"/>
      <c r="E22" s="46"/>
      <c r="F22" s="44">
        <f t="shared" ref="F22:K22" si="14">F21*1.5</f>
        <v>303.01407012035588</v>
      </c>
      <c r="G22" s="44">
        <f t="shared" si="14"/>
        <v>309.56432663526948</v>
      </c>
      <c r="H22" s="44">
        <f t="shared" si="14"/>
        <v>316.11342506541075</v>
      </c>
      <c r="I22" s="44">
        <f t="shared" si="14"/>
        <v>322.66254704343271</v>
      </c>
      <c r="J22" s="46">
        <f t="shared" si="14"/>
        <v>329.21222451596026</v>
      </c>
      <c r="K22" s="44">
        <f t="shared" si="14"/>
        <v>337.79771352694922</v>
      </c>
      <c r="L22" s="117">
        <f>L21*1.5</f>
        <v>346.09045293040299</v>
      </c>
      <c r="M22" s="118">
        <f>M21*1.5</f>
        <v>353.15489272632135</v>
      </c>
    </row>
    <row r="23" spans="1:13" ht="15" x14ac:dyDescent="0.25">
      <c r="A23" s="128"/>
      <c r="B23" s="127" t="s">
        <v>23</v>
      </c>
      <c r="C23" s="116" t="s">
        <v>59</v>
      </c>
      <c r="D23" s="44"/>
      <c r="E23" s="46"/>
      <c r="F23" s="44">
        <f t="shared" ref="F23:K23" si="15">F21*2</f>
        <v>404.01876016047453</v>
      </c>
      <c r="G23" s="44">
        <f t="shared" si="15"/>
        <v>412.75243551369266</v>
      </c>
      <c r="H23" s="44">
        <f t="shared" si="15"/>
        <v>421.48456675388098</v>
      </c>
      <c r="I23" s="44">
        <f t="shared" si="15"/>
        <v>430.21672939124363</v>
      </c>
      <c r="J23" s="46">
        <f t="shared" si="15"/>
        <v>438.94963268794703</v>
      </c>
      <c r="K23" s="44">
        <f t="shared" si="15"/>
        <v>450.39695136926565</v>
      </c>
      <c r="L23" s="117">
        <f>L21*2</f>
        <v>461.4539372405373</v>
      </c>
      <c r="M23" s="118">
        <f>M21*2</f>
        <v>470.87319030176178</v>
      </c>
    </row>
    <row r="24" spans="1:13" ht="15" x14ac:dyDescent="0.25">
      <c r="A24" s="128"/>
      <c r="B24" s="127" t="s">
        <v>24</v>
      </c>
      <c r="C24" s="116"/>
      <c r="D24" s="44"/>
      <c r="E24" s="46"/>
      <c r="F24" s="44"/>
      <c r="G24" s="44"/>
      <c r="H24" s="44"/>
      <c r="I24" s="44"/>
      <c r="J24" s="46"/>
      <c r="K24" s="44"/>
      <c r="L24" s="131"/>
      <c r="M24" s="42"/>
    </row>
    <row r="25" spans="1:13" ht="15.75" thickBot="1" x14ac:dyDescent="0.3">
      <c r="A25" s="132"/>
      <c r="B25" s="133" t="s">
        <v>25</v>
      </c>
      <c r="C25" s="134"/>
      <c r="D25" s="67"/>
      <c r="E25" s="161"/>
      <c r="F25" s="67"/>
      <c r="G25" s="67"/>
      <c r="H25" s="67"/>
      <c r="I25" s="67"/>
      <c r="J25" s="135"/>
      <c r="K25" s="67"/>
      <c r="L25" s="136"/>
      <c r="M25" s="42"/>
    </row>
    <row r="26" spans="1:13" ht="15.6" x14ac:dyDescent="0.3">
      <c r="A26" s="137" t="s">
        <v>26</v>
      </c>
      <c r="B26" s="103" t="s">
        <v>27</v>
      </c>
      <c r="C26" s="104" t="s">
        <v>7</v>
      </c>
      <c r="D26" s="38"/>
      <c r="E26" s="160"/>
      <c r="F26" s="174">
        <f>477260.7+(477260.7*1.1%)+10000+5733+(498244*4.5%)+10000+5340+12000+12000+5160</f>
        <v>565164.5477</v>
      </c>
      <c r="G26" s="30">
        <f>488668.95+(488668.95*1.1%)+10000+5733+(509777*4.5%)+10000+5340+12000+12000+5160</f>
        <v>577217.27344999998</v>
      </c>
      <c r="H26" s="30">
        <f>500073+(500073*1.1%)+10000+5733+(521307*4.5%)+10000+5340+12000+12000+5160</f>
        <v>589265.61800000002</v>
      </c>
      <c r="I26" s="30">
        <f>511479.15+(511479.15*1.1%)+10000+5733+(532838*4.5%)+10000+5340+12000+12000+5160</f>
        <v>601316.13064999995</v>
      </c>
      <c r="J26" s="30">
        <f>522883.2+(522883.2*1.1%)+10000+5733+(544368*4.5%)+10000+5340+12000+12000+5160</f>
        <v>613364.47519999999</v>
      </c>
      <c r="K26" s="31">
        <f>537973.8+(537973.8*1.1%)+10000+5733+(559625*4.5%)+10000+5340+12000+12000+5160</f>
        <v>629307.63680000009</v>
      </c>
      <c r="L26" s="30">
        <f>556623+10000+5733+(572365*4.5%)+10000+5340+12000+12000+5160</f>
        <v>642612.42500000005</v>
      </c>
      <c r="M26" s="34">
        <f>598112+12500+10000+6340+12000+12000+5160</f>
        <v>656112</v>
      </c>
    </row>
    <row r="27" spans="1:13" x14ac:dyDescent="0.3">
      <c r="A27" s="106"/>
      <c r="B27" s="107" t="s">
        <v>28</v>
      </c>
      <c r="C27" s="108" t="s">
        <v>52</v>
      </c>
      <c r="D27" s="38"/>
      <c r="E27" s="39"/>
      <c r="F27" s="109">
        <f t="shared" ref="F27:L27" si="16">F28*12*0.47/146</f>
        <v>1237.6634862501162</v>
      </c>
      <c r="G27" s="109">
        <f t="shared" si="16"/>
        <v>1264.0579560222718</v>
      </c>
      <c r="H27" s="109">
        <f t="shared" si="16"/>
        <v>1290.4428313297924</v>
      </c>
      <c r="I27" s="109">
        <f t="shared" si="16"/>
        <v>1316.8324545964963</v>
      </c>
      <c r="J27" s="109">
        <f t="shared" si="16"/>
        <v>1343.2173299040164</v>
      </c>
      <c r="K27" s="109">
        <f t="shared" si="16"/>
        <v>1378.1315315254872</v>
      </c>
      <c r="L27" s="129">
        <f t="shared" si="16"/>
        <v>1407.2679142204829</v>
      </c>
      <c r="M27" s="111">
        <f>M28*12*0.47/146</f>
        <v>1436.8308638523902</v>
      </c>
    </row>
    <row r="28" spans="1:13" x14ac:dyDescent="0.3">
      <c r="A28" s="106"/>
      <c r="B28" s="107" t="s">
        <v>29</v>
      </c>
      <c r="C28" s="108" t="s">
        <v>53</v>
      </c>
      <c r="D28" s="38"/>
      <c r="E28" s="39"/>
      <c r="F28" s="39">
        <f t="shared" ref="F28:M28" si="17">(F26*100)/(147*12)</f>
        <v>32038.806558956912</v>
      </c>
      <c r="G28" s="39">
        <f t="shared" si="17"/>
        <v>32722.067655895691</v>
      </c>
      <c r="H28" s="39">
        <f t="shared" si="17"/>
        <v>33405.080385487534</v>
      </c>
      <c r="I28" s="39">
        <f t="shared" si="17"/>
        <v>34088.216023242632</v>
      </c>
      <c r="J28" s="39">
        <f t="shared" si="17"/>
        <v>34771.228752834468</v>
      </c>
      <c r="K28" s="39">
        <f t="shared" si="17"/>
        <v>35675.03609977325</v>
      </c>
      <c r="L28" s="40">
        <f t="shared" si="17"/>
        <v>36429.275793650799</v>
      </c>
      <c r="M28" s="114">
        <f t="shared" si="17"/>
        <v>37194.557823129253</v>
      </c>
    </row>
    <row r="29" spans="1:13" x14ac:dyDescent="0.3">
      <c r="A29" s="106"/>
      <c r="B29" s="107" t="s">
        <v>30</v>
      </c>
      <c r="C29" s="108" t="s">
        <v>54</v>
      </c>
      <c r="D29" s="38"/>
      <c r="E29" s="39"/>
      <c r="F29" s="39">
        <f t="shared" ref="F29:K29" si="18">F28*47.08/52.14</f>
        <v>28929.555289522275</v>
      </c>
      <c r="G29" s="39">
        <f t="shared" si="18"/>
        <v>29546.508347517625</v>
      </c>
      <c r="H29" s="39">
        <f t="shared" si="18"/>
        <v>30163.237141326295</v>
      </c>
      <c r="I29" s="39">
        <f t="shared" si="18"/>
        <v>30780.076915501784</v>
      </c>
      <c r="J29" s="39">
        <f t="shared" si="18"/>
        <v>31396.805709310447</v>
      </c>
      <c r="K29" s="39">
        <f t="shared" si="18"/>
        <v>32212.901794731963</v>
      </c>
      <c r="L29" s="40">
        <f>L28*47.08/52.14</f>
        <v>32893.945231397767</v>
      </c>
      <c r="M29" s="114">
        <f>M28*47.08/52.14</f>
        <v>33584.959384597722</v>
      </c>
    </row>
    <row r="30" spans="1:13" ht="15" x14ac:dyDescent="0.25">
      <c r="A30" s="106"/>
      <c r="B30" s="107" t="s">
        <v>31</v>
      </c>
      <c r="C30" s="116" t="s">
        <v>55</v>
      </c>
      <c r="D30" s="44"/>
      <c r="E30" s="45"/>
      <c r="F30" s="45">
        <f t="shared" ref="F30:M30" si="19">F26/1752</f>
        <v>322.58250439497715</v>
      </c>
      <c r="G30" s="45">
        <f t="shared" si="19"/>
        <v>329.4619140696347</v>
      </c>
      <c r="H30" s="45">
        <f t="shared" si="19"/>
        <v>336.33882305936072</v>
      </c>
      <c r="I30" s="45">
        <f t="shared" si="19"/>
        <v>343.21696954908674</v>
      </c>
      <c r="J30" s="45">
        <f t="shared" si="19"/>
        <v>350.09387853881276</v>
      </c>
      <c r="K30" s="45">
        <f t="shared" si="19"/>
        <v>359.19385662100461</v>
      </c>
      <c r="L30" s="46">
        <f t="shared" si="19"/>
        <v>366.7879138127854</v>
      </c>
      <c r="M30" s="118">
        <f t="shared" si="19"/>
        <v>374.49315068493149</v>
      </c>
    </row>
    <row r="31" spans="1:13" x14ac:dyDescent="0.3">
      <c r="A31" s="106"/>
      <c r="B31" s="107" t="s">
        <v>32</v>
      </c>
      <c r="C31" s="116" t="s">
        <v>56</v>
      </c>
      <c r="D31" s="44"/>
      <c r="E31" s="45"/>
      <c r="F31" s="45">
        <f t="shared" ref="F31:M31" si="20">F26/1752*1.65</f>
        <v>532.2611322517123</v>
      </c>
      <c r="G31" s="45">
        <f t="shared" si="20"/>
        <v>543.61215821489725</v>
      </c>
      <c r="H31" s="45">
        <f t="shared" si="20"/>
        <v>554.95905804794518</v>
      </c>
      <c r="I31" s="45">
        <f t="shared" si="20"/>
        <v>566.30799975599314</v>
      </c>
      <c r="J31" s="45">
        <f t="shared" si="20"/>
        <v>577.65489958904107</v>
      </c>
      <c r="K31" s="45">
        <f t="shared" si="20"/>
        <v>592.66986342465759</v>
      </c>
      <c r="L31" s="46">
        <f t="shared" si="20"/>
        <v>605.2000577910959</v>
      </c>
      <c r="M31" s="118">
        <f t="shared" si="20"/>
        <v>617.91369863013688</v>
      </c>
    </row>
    <row r="32" spans="1:13" ht="15" x14ac:dyDescent="0.25">
      <c r="A32" s="106"/>
      <c r="B32" s="107" t="s">
        <v>33</v>
      </c>
      <c r="C32" s="116" t="s">
        <v>57</v>
      </c>
      <c r="D32" s="44"/>
      <c r="E32" s="45"/>
      <c r="F32" s="45">
        <f t="shared" ref="F32:K32" si="21">F28/162.5</f>
        <v>197.16188651665792</v>
      </c>
      <c r="G32" s="45">
        <f t="shared" si="21"/>
        <v>201.36657019012733</v>
      </c>
      <c r="H32" s="45">
        <f t="shared" si="21"/>
        <v>205.56972544915405</v>
      </c>
      <c r="I32" s="45">
        <f t="shared" si="21"/>
        <v>209.77363706610851</v>
      </c>
      <c r="J32" s="45">
        <f t="shared" si="21"/>
        <v>213.97679232513519</v>
      </c>
      <c r="K32" s="45">
        <f t="shared" si="21"/>
        <v>219.53868369091231</v>
      </c>
      <c r="L32" s="46">
        <f>L28/162.5</f>
        <v>224.18015873015875</v>
      </c>
      <c r="M32" s="118">
        <f>M28/162.5</f>
        <v>228.88958660387232</v>
      </c>
    </row>
    <row r="33" spans="1:14" ht="15" x14ac:dyDescent="0.25">
      <c r="A33" s="106"/>
      <c r="B33" s="107" t="s">
        <v>34</v>
      </c>
      <c r="C33" s="116" t="s">
        <v>58</v>
      </c>
      <c r="D33" s="44"/>
      <c r="E33" s="45"/>
      <c r="F33" s="45">
        <f t="shared" ref="F33:K33" si="22">F32*1.5</f>
        <v>295.74282977498689</v>
      </c>
      <c r="G33" s="45">
        <f t="shared" si="22"/>
        <v>302.04985528519103</v>
      </c>
      <c r="H33" s="45">
        <f t="shared" si="22"/>
        <v>308.35458817373109</v>
      </c>
      <c r="I33" s="45">
        <f t="shared" si="22"/>
        <v>314.66045559916279</v>
      </c>
      <c r="J33" s="45">
        <f t="shared" si="22"/>
        <v>320.96518848770279</v>
      </c>
      <c r="K33" s="45">
        <f t="shared" si="22"/>
        <v>329.30802553636846</v>
      </c>
      <c r="L33" s="46">
        <f>L32*1.5</f>
        <v>336.27023809523814</v>
      </c>
      <c r="M33" s="118">
        <f>M32*1.5</f>
        <v>343.33437990580848</v>
      </c>
    </row>
    <row r="34" spans="1:14" ht="15.75" thickBot="1" x14ac:dyDescent="0.3">
      <c r="A34" s="138"/>
      <c r="B34" s="139" t="s">
        <v>35</v>
      </c>
      <c r="C34" s="122" t="s">
        <v>59</v>
      </c>
      <c r="D34" s="51"/>
      <c r="E34" s="52"/>
      <c r="F34" s="52">
        <f t="shared" ref="F34:K34" si="23">F32*2</f>
        <v>394.32377303331583</v>
      </c>
      <c r="G34" s="52">
        <f t="shared" si="23"/>
        <v>402.73314038025467</v>
      </c>
      <c r="H34" s="52">
        <f t="shared" si="23"/>
        <v>411.1394508983081</v>
      </c>
      <c r="I34" s="52">
        <f t="shared" si="23"/>
        <v>419.54727413221701</v>
      </c>
      <c r="J34" s="52">
        <f t="shared" si="23"/>
        <v>427.95358465027039</v>
      </c>
      <c r="K34" s="52">
        <f t="shared" si="23"/>
        <v>439.07736738182462</v>
      </c>
      <c r="L34" s="53">
        <f>L32*2</f>
        <v>448.3603174603175</v>
      </c>
      <c r="M34" s="124">
        <f>M32*2</f>
        <v>457.77917320774463</v>
      </c>
    </row>
    <row r="35" spans="1:14" ht="15.6" x14ac:dyDescent="0.3">
      <c r="A35" s="137" t="s">
        <v>36</v>
      </c>
      <c r="B35" s="103" t="s">
        <v>37</v>
      </c>
      <c r="C35" s="104" t="s">
        <v>7</v>
      </c>
      <c r="D35" s="38"/>
      <c r="E35" s="160"/>
      <c r="F35" s="174">
        <f>434527.44615+10000+5733+(450260*4.5%)+10000+5340+12000+12000+5160</f>
        <v>515022.14614999999</v>
      </c>
      <c r="G35" s="30">
        <f>443420.0505+10000+5733+(459153*4.5%)+10000+5340+12000+12000+5160</f>
        <v>524314.93550000002</v>
      </c>
      <c r="H35" s="30">
        <f>452314.77795+10000+5733+(468048*4.5%)+10000+5340+12000+12000+5160</f>
        <v>533609.93794999993</v>
      </c>
      <c r="I35" s="30">
        <f>461207.3823+10000+5733+(476940*4.5%)+10000+5340+12000+12000+5160</f>
        <v>542902.68229999999</v>
      </c>
      <c r="J35" s="30">
        <f>470102.10975+10000+5733+(485835*4.5%)+10000+5340+12000+12000+5160</f>
        <v>552197.68475000001</v>
      </c>
      <c r="K35" s="31">
        <f>482720.7546+10000+5733+(498454*4.5%)+10000+5340+12000+12000+5160</f>
        <v>565384.18460000004</v>
      </c>
      <c r="L35" s="30">
        <f>489229+10000+5733+(504962*4.5%)+10000+5340+12000+12000+5160</f>
        <v>572185.29</v>
      </c>
      <c r="M35" s="34">
        <f>527685+12500+10000+6340+12000+12000+5160</f>
        <v>585685</v>
      </c>
    </row>
    <row r="36" spans="1:14" x14ac:dyDescent="0.3">
      <c r="A36" s="106"/>
      <c r="B36" s="107" t="s">
        <v>38</v>
      </c>
      <c r="C36" s="108" t="s">
        <v>52</v>
      </c>
      <c r="D36" s="38"/>
      <c r="E36" s="39"/>
      <c r="F36" s="109">
        <f t="shared" ref="F36:L36" si="24">F37*12*0.47/146</f>
        <v>1127.8557855302392</v>
      </c>
      <c r="G36" s="109">
        <f t="shared" si="24"/>
        <v>1148.2062234880254</v>
      </c>
      <c r="H36" s="109">
        <f t="shared" si="24"/>
        <v>1168.5615079512625</v>
      </c>
      <c r="I36" s="109">
        <f t="shared" si="24"/>
        <v>1188.9118473627807</v>
      </c>
      <c r="J36" s="109">
        <f t="shared" si="24"/>
        <v>1209.2671318260182</v>
      </c>
      <c r="K36" s="109">
        <f t="shared" si="24"/>
        <v>1238.1444728450283</v>
      </c>
      <c r="L36" s="129">
        <f t="shared" si="24"/>
        <v>1253.0383296058149</v>
      </c>
      <c r="M36" s="111">
        <f>M37*12*0.47/146</f>
        <v>1282.601574876526</v>
      </c>
    </row>
    <row r="37" spans="1:14" x14ac:dyDescent="0.3">
      <c r="A37" s="106"/>
      <c r="B37" s="107"/>
      <c r="C37" s="108" t="s">
        <v>53</v>
      </c>
      <c r="D37" s="38"/>
      <c r="E37" s="39"/>
      <c r="F37" s="39">
        <f t="shared" ref="F37:M37" si="25">(F35*100)/(147*12)</f>
        <v>29196.266788548754</v>
      </c>
      <c r="G37" s="39">
        <f t="shared" si="25"/>
        <v>29723.068905895696</v>
      </c>
      <c r="H37" s="39">
        <f t="shared" si="25"/>
        <v>30249.996482426301</v>
      </c>
      <c r="I37" s="39">
        <f t="shared" si="25"/>
        <v>30776.796048752833</v>
      </c>
      <c r="J37" s="39">
        <f t="shared" si="25"/>
        <v>31303.723625283448</v>
      </c>
      <c r="K37" s="39">
        <f t="shared" si="25"/>
        <v>32051.257630385488</v>
      </c>
      <c r="L37" s="40">
        <f t="shared" si="25"/>
        <v>32436.807823129253</v>
      </c>
      <c r="M37" s="114">
        <f t="shared" si="25"/>
        <v>33202.097505668935</v>
      </c>
    </row>
    <row r="38" spans="1:14" x14ac:dyDescent="0.3">
      <c r="A38" s="106"/>
      <c r="B38" s="107"/>
      <c r="C38" s="108" t="s">
        <v>54</v>
      </c>
      <c r="D38" s="38"/>
      <c r="E38" s="39"/>
      <c r="F38" s="39">
        <f t="shared" ref="F38:K38" si="26">F37*47.08/52.14</f>
        <v>26362.873809069337</v>
      </c>
      <c r="G38" s="39">
        <f t="shared" si="26"/>
        <v>26838.55167030244</v>
      </c>
      <c r="H38" s="39">
        <f t="shared" si="26"/>
        <v>27314.342815355394</v>
      </c>
      <c r="I38" s="39">
        <f t="shared" si="26"/>
        <v>27790.01837313547</v>
      </c>
      <c r="J38" s="39">
        <f t="shared" si="26"/>
        <v>28265.809518188427</v>
      </c>
      <c r="K38" s="39">
        <f t="shared" si="26"/>
        <v>28940.798029124449</v>
      </c>
      <c r="L38" s="40">
        <f>L37*47.08/52.14</f>
        <v>29288.931958437381</v>
      </c>
      <c r="M38" s="114">
        <f>M37*47.08/52.14</f>
        <v>29979.953021996422</v>
      </c>
    </row>
    <row r="39" spans="1:14" ht="15" x14ac:dyDescent="0.25">
      <c r="A39" s="106"/>
      <c r="B39" s="107"/>
      <c r="C39" s="116" t="s">
        <v>55</v>
      </c>
      <c r="D39" s="44"/>
      <c r="E39" s="45"/>
      <c r="F39" s="45">
        <f t="shared" ref="F39:M39" si="27">F35/1752</f>
        <v>293.96241218607304</v>
      </c>
      <c r="G39" s="45">
        <f t="shared" si="27"/>
        <v>299.26651569634703</v>
      </c>
      <c r="H39" s="45">
        <f t="shared" si="27"/>
        <v>304.57188239155249</v>
      </c>
      <c r="I39" s="45">
        <f t="shared" si="27"/>
        <v>309.87596021689495</v>
      </c>
      <c r="J39" s="45">
        <f t="shared" si="27"/>
        <v>315.18132691210047</v>
      </c>
      <c r="K39" s="45">
        <f t="shared" si="27"/>
        <v>322.70786792237448</v>
      </c>
      <c r="L39" s="46">
        <f t="shared" si="27"/>
        <v>326.58977739726032</v>
      </c>
      <c r="M39" s="118">
        <f t="shared" si="27"/>
        <v>334.29509132420094</v>
      </c>
    </row>
    <row r="40" spans="1:14" x14ac:dyDescent="0.3">
      <c r="A40" s="106"/>
      <c r="B40" s="107"/>
      <c r="C40" s="116" t="s">
        <v>56</v>
      </c>
      <c r="D40" s="44"/>
      <c r="E40" s="45"/>
      <c r="F40" s="45">
        <f t="shared" ref="F40:M40" si="28">F35/1752*1.65</f>
        <v>485.03798010702047</v>
      </c>
      <c r="G40" s="45">
        <f t="shared" si="28"/>
        <v>493.78975089897256</v>
      </c>
      <c r="H40" s="45">
        <f t="shared" si="28"/>
        <v>502.54360594606158</v>
      </c>
      <c r="I40" s="45">
        <f t="shared" si="28"/>
        <v>511.29533435787664</v>
      </c>
      <c r="J40" s="45">
        <f t="shared" si="28"/>
        <v>520.04918940496577</v>
      </c>
      <c r="K40" s="45">
        <f t="shared" si="28"/>
        <v>532.46798207191785</v>
      </c>
      <c r="L40" s="46">
        <f t="shared" si="28"/>
        <v>538.87313270547952</v>
      </c>
      <c r="M40" s="118">
        <f t="shared" si="28"/>
        <v>551.58690068493149</v>
      </c>
    </row>
    <row r="41" spans="1:14" x14ac:dyDescent="0.3">
      <c r="A41" s="106"/>
      <c r="B41" s="107"/>
      <c r="C41" s="116" t="s">
        <v>57</v>
      </c>
      <c r="D41" s="44"/>
      <c r="E41" s="45"/>
      <c r="F41" s="45">
        <f t="shared" ref="F41:K41" si="29">F37/162.5</f>
        <v>179.66933408337695</v>
      </c>
      <c r="G41" s="45">
        <f t="shared" si="29"/>
        <v>182.91119326705044</v>
      </c>
      <c r="H41" s="45">
        <f t="shared" si="29"/>
        <v>186.15382450723877</v>
      </c>
      <c r="I41" s="45">
        <f t="shared" si="29"/>
        <v>189.39566799232512</v>
      </c>
      <c r="J41" s="45">
        <f t="shared" si="29"/>
        <v>192.63829923251353</v>
      </c>
      <c r="K41" s="45">
        <f t="shared" si="29"/>
        <v>197.23850849467993</v>
      </c>
      <c r="L41" s="46">
        <f>L37/162.5</f>
        <v>199.61112506541079</v>
      </c>
      <c r="M41" s="118">
        <f>M37/162.5</f>
        <v>204.32060003488576</v>
      </c>
    </row>
    <row r="42" spans="1:14" x14ac:dyDescent="0.3">
      <c r="A42" s="106"/>
      <c r="B42" s="107"/>
      <c r="C42" s="116" t="s">
        <v>58</v>
      </c>
      <c r="D42" s="44"/>
      <c r="E42" s="45"/>
      <c r="F42" s="45">
        <f t="shared" ref="F42:K42" si="30">F41*1.5</f>
        <v>269.50400112506543</v>
      </c>
      <c r="G42" s="45">
        <f t="shared" si="30"/>
        <v>274.36678990057567</v>
      </c>
      <c r="H42" s="45">
        <f t="shared" si="30"/>
        <v>279.23073676085812</v>
      </c>
      <c r="I42" s="45">
        <f t="shared" si="30"/>
        <v>284.09350198848767</v>
      </c>
      <c r="J42" s="45">
        <f t="shared" si="30"/>
        <v>288.9574488487703</v>
      </c>
      <c r="K42" s="45">
        <f t="shared" si="30"/>
        <v>295.85776274201987</v>
      </c>
      <c r="L42" s="46">
        <f>L41*1.5</f>
        <v>299.4166875981162</v>
      </c>
      <c r="M42" s="118">
        <f>M41*1.5</f>
        <v>306.48090005232865</v>
      </c>
    </row>
    <row r="43" spans="1:14" ht="15" thickBot="1" x14ac:dyDescent="0.35">
      <c r="A43" s="138"/>
      <c r="B43" s="140"/>
      <c r="C43" s="122" t="s">
        <v>59</v>
      </c>
      <c r="D43" s="51"/>
      <c r="E43" s="52"/>
      <c r="F43" s="52">
        <f t="shared" ref="F43:K43" si="31">F41*2</f>
        <v>359.33866816675391</v>
      </c>
      <c r="G43" s="52">
        <f t="shared" si="31"/>
        <v>365.82238653410087</v>
      </c>
      <c r="H43" s="52">
        <f t="shared" si="31"/>
        <v>372.30764901447753</v>
      </c>
      <c r="I43" s="52">
        <f t="shared" si="31"/>
        <v>378.79133598465023</v>
      </c>
      <c r="J43" s="52">
        <f t="shared" si="31"/>
        <v>385.27659846502706</v>
      </c>
      <c r="K43" s="52">
        <f t="shared" si="31"/>
        <v>394.47701698935987</v>
      </c>
      <c r="L43" s="53">
        <f>L41*2</f>
        <v>399.22225013082158</v>
      </c>
      <c r="M43" s="124">
        <f>M41*2</f>
        <v>408.64120006977151</v>
      </c>
    </row>
    <row r="44" spans="1:14" x14ac:dyDescent="0.3">
      <c r="A44" s="11" t="s">
        <v>39</v>
      </c>
      <c r="B44" s="11"/>
      <c r="C44" s="11"/>
      <c r="D44" s="11"/>
      <c r="E44" s="11"/>
      <c r="F44" s="11"/>
      <c r="G44" s="11"/>
      <c r="H44" s="81"/>
      <c r="I44" s="81"/>
      <c r="J44" s="81"/>
      <c r="K44" s="81"/>
      <c r="L44" s="81"/>
    </row>
    <row r="45" spans="1:14" ht="16.5" customHeight="1" x14ac:dyDescent="0.3">
      <c r="A45" s="82" t="s">
        <v>40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</row>
    <row r="46" spans="1:14" ht="9.75" customHeight="1" x14ac:dyDescent="0.3">
      <c r="I46" s="12"/>
      <c r="J46" s="12"/>
      <c r="K46" s="12"/>
      <c r="L46" s="12"/>
      <c r="M46" s="11"/>
      <c r="N46" s="11"/>
    </row>
    <row r="47" spans="1:14" x14ac:dyDescent="0.3">
      <c r="A47" s="141" t="s">
        <v>41</v>
      </c>
      <c r="B47" s="142"/>
      <c r="C47" s="142"/>
      <c r="D47" s="143"/>
      <c r="E47" s="143"/>
      <c r="F47" s="143"/>
      <c r="G47" s="144"/>
      <c r="H47" s="144"/>
      <c r="N47" s="11"/>
    </row>
    <row r="48" spans="1:14" x14ac:dyDescent="0.3">
      <c r="A48" s="145" t="s">
        <v>43</v>
      </c>
      <c r="B48" s="146"/>
      <c r="C48" s="145" t="s">
        <v>45</v>
      </c>
      <c r="D48" s="147"/>
      <c r="E48" s="145" t="s">
        <v>47</v>
      </c>
      <c r="F48" s="147"/>
      <c r="G48" s="145" t="s">
        <v>49</v>
      </c>
      <c r="H48" s="147"/>
      <c r="N48" s="11"/>
    </row>
    <row r="49" spans="1:8" x14ac:dyDescent="0.3">
      <c r="A49" s="145" t="s">
        <v>44</v>
      </c>
      <c r="B49" s="146"/>
      <c r="C49" s="145" t="s">
        <v>46</v>
      </c>
      <c r="D49" s="147"/>
      <c r="E49" s="148" t="s">
        <v>60</v>
      </c>
      <c r="F49" s="149"/>
      <c r="G49" s="145" t="s">
        <v>61</v>
      </c>
      <c r="H49" s="147"/>
    </row>
    <row r="50" spans="1:8" ht="18" customHeight="1" x14ac:dyDescent="0.3">
      <c r="A50" s="150" t="s">
        <v>62</v>
      </c>
    </row>
  </sheetData>
  <mergeCells count="1">
    <mergeCell ref="G4:N4"/>
  </mergeCells>
  <pageMargins left="0.51181102362204722" right="0.31496062992125984" top="0.55118110236220474" bottom="0.35433070866141736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9" zoomScale="90" zoomScaleNormal="90" workbookViewId="0">
      <selection activeCell="A4" sqref="A4:N45"/>
    </sheetView>
  </sheetViews>
  <sheetFormatPr baseColWidth="10" defaultRowHeight="14.4" x14ac:dyDescent="0.3"/>
  <cols>
    <col min="1" max="1" width="5.44140625" customWidth="1"/>
    <col min="2" max="2" width="22" customWidth="1"/>
    <col min="3" max="3" width="17" customWidth="1"/>
    <col min="4" max="4" width="13.6640625" customWidth="1"/>
    <col min="5" max="5" width="13.5546875" customWidth="1"/>
    <col min="6" max="12" width="13.6640625" customWidth="1"/>
    <col min="13" max="13" width="12.5546875" customWidth="1"/>
    <col min="14" max="14" width="11.88671875" customWidth="1"/>
    <col min="257" max="257" width="5.44140625" customWidth="1"/>
    <col min="258" max="258" width="22" customWidth="1"/>
    <col min="259" max="259" width="17" customWidth="1"/>
    <col min="260" max="260" width="13.6640625" customWidth="1"/>
    <col min="261" max="261" width="15.88671875" customWidth="1"/>
    <col min="262" max="268" width="13.6640625" customWidth="1"/>
    <col min="269" max="269" width="12.5546875" customWidth="1"/>
    <col min="270" max="270" width="11.88671875" customWidth="1"/>
    <col min="513" max="513" width="5.44140625" customWidth="1"/>
    <col min="514" max="514" width="22" customWidth="1"/>
    <col min="515" max="515" width="17" customWidth="1"/>
    <col min="516" max="516" width="13.6640625" customWidth="1"/>
    <col min="517" max="517" width="15.88671875" customWidth="1"/>
    <col min="518" max="524" width="13.6640625" customWidth="1"/>
    <col min="525" max="525" width="12.5546875" customWidth="1"/>
    <col min="526" max="526" width="11.88671875" customWidth="1"/>
    <col min="769" max="769" width="5.44140625" customWidth="1"/>
    <col min="770" max="770" width="22" customWidth="1"/>
    <col min="771" max="771" width="17" customWidth="1"/>
    <col min="772" max="772" width="13.6640625" customWidth="1"/>
    <col min="773" max="773" width="15.88671875" customWidth="1"/>
    <col min="774" max="780" width="13.6640625" customWidth="1"/>
    <col min="781" max="781" width="12.5546875" customWidth="1"/>
    <col min="782" max="782" width="11.88671875" customWidth="1"/>
    <col min="1025" max="1025" width="5.44140625" customWidth="1"/>
    <col min="1026" max="1026" width="22" customWidth="1"/>
    <col min="1027" max="1027" width="17" customWidth="1"/>
    <col min="1028" max="1028" width="13.6640625" customWidth="1"/>
    <col min="1029" max="1029" width="15.88671875" customWidth="1"/>
    <col min="1030" max="1036" width="13.6640625" customWidth="1"/>
    <col min="1037" max="1037" width="12.5546875" customWidth="1"/>
    <col min="1038" max="1038" width="11.88671875" customWidth="1"/>
    <col min="1281" max="1281" width="5.44140625" customWidth="1"/>
    <col min="1282" max="1282" width="22" customWidth="1"/>
    <col min="1283" max="1283" width="17" customWidth="1"/>
    <col min="1284" max="1284" width="13.6640625" customWidth="1"/>
    <col min="1285" max="1285" width="15.88671875" customWidth="1"/>
    <col min="1286" max="1292" width="13.6640625" customWidth="1"/>
    <col min="1293" max="1293" width="12.5546875" customWidth="1"/>
    <col min="1294" max="1294" width="11.88671875" customWidth="1"/>
    <col min="1537" max="1537" width="5.44140625" customWidth="1"/>
    <col min="1538" max="1538" width="22" customWidth="1"/>
    <col min="1539" max="1539" width="17" customWidth="1"/>
    <col min="1540" max="1540" width="13.6640625" customWidth="1"/>
    <col min="1541" max="1541" width="15.88671875" customWidth="1"/>
    <col min="1542" max="1548" width="13.6640625" customWidth="1"/>
    <col min="1549" max="1549" width="12.5546875" customWidth="1"/>
    <col min="1550" max="1550" width="11.88671875" customWidth="1"/>
    <col min="1793" max="1793" width="5.44140625" customWidth="1"/>
    <col min="1794" max="1794" width="22" customWidth="1"/>
    <col min="1795" max="1795" width="17" customWidth="1"/>
    <col min="1796" max="1796" width="13.6640625" customWidth="1"/>
    <col min="1797" max="1797" width="15.88671875" customWidth="1"/>
    <col min="1798" max="1804" width="13.6640625" customWidth="1"/>
    <col min="1805" max="1805" width="12.5546875" customWidth="1"/>
    <col min="1806" max="1806" width="11.88671875" customWidth="1"/>
    <col min="2049" max="2049" width="5.44140625" customWidth="1"/>
    <col min="2050" max="2050" width="22" customWidth="1"/>
    <col min="2051" max="2051" width="17" customWidth="1"/>
    <col min="2052" max="2052" width="13.6640625" customWidth="1"/>
    <col min="2053" max="2053" width="15.88671875" customWidth="1"/>
    <col min="2054" max="2060" width="13.6640625" customWidth="1"/>
    <col min="2061" max="2061" width="12.5546875" customWidth="1"/>
    <col min="2062" max="2062" width="11.88671875" customWidth="1"/>
    <col min="2305" max="2305" width="5.44140625" customWidth="1"/>
    <col min="2306" max="2306" width="22" customWidth="1"/>
    <col min="2307" max="2307" width="17" customWidth="1"/>
    <col min="2308" max="2308" width="13.6640625" customWidth="1"/>
    <col min="2309" max="2309" width="15.88671875" customWidth="1"/>
    <col min="2310" max="2316" width="13.6640625" customWidth="1"/>
    <col min="2317" max="2317" width="12.5546875" customWidth="1"/>
    <col min="2318" max="2318" width="11.88671875" customWidth="1"/>
    <col min="2561" max="2561" width="5.44140625" customWidth="1"/>
    <col min="2562" max="2562" width="22" customWidth="1"/>
    <col min="2563" max="2563" width="17" customWidth="1"/>
    <col min="2564" max="2564" width="13.6640625" customWidth="1"/>
    <col min="2565" max="2565" width="15.88671875" customWidth="1"/>
    <col min="2566" max="2572" width="13.6640625" customWidth="1"/>
    <col min="2573" max="2573" width="12.5546875" customWidth="1"/>
    <col min="2574" max="2574" width="11.88671875" customWidth="1"/>
    <col min="2817" max="2817" width="5.44140625" customWidth="1"/>
    <col min="2818" max="2818" width="22" customWidth="1"/>
    <col min="2819" max="2819" width="17" customWidth="1"/>
    <col min="2820" max="2820" width="13.6640625" customWidth="1"/>
    <col min="2821" max="2821" width="15.88671875" customWidth="1"/>
    <col min="2822" max="2828" width="13.6640625" customWidth="1"/>
    <col min="2829" max="2829" width="12.5546875" customWidth="1"/>
    <col min="2830" max="2830" width="11.88671875" customWidth="1"/>
    <col min="3073" max="3073" width="5.44140625" customWidth="1"/>
    <col min="3074" max="3074" width="22" customWidth="1"/>
    <col min="3075" max="3075" width="17" customWidth="1"/>
    <col min="3076" max="3076" width="13.6640625" customWidth="1"/>
    <col min="3077" max="3077" width="15.88671875" customWidth="1"/>
    <col min="3078" max="3084" width="13.6640625" customWidth="1"/>
    <col min="3085" max="3085" width="12.5546875" customWidth="1"/>
    <col min="3086" max="3086" width="11.88671875" customWidth="1"/>
    <col min="3329" max="3329" width="5.44140625" customWidth="1"/>
    <col min="3330" max="3330" width="22" customWidth="1"/>
    <col min="3331" max="3331" width="17" customWidth="1"/>
    <col min="3332" max="3332" width="13.6640625" customWidth="1"/>
    <col min="3333" max="3333" width="15.88671875" customWidth="1"/>
    <col min="3334" max="3340" width="13.6640625" customWidth="1"/>
    <col min="3341" max="3341" width="12.5546875" customWidth="1"/>
    <col min="3342" max="3342" width="11.88671875" customWidth="1"/>
    <col min="3585" max="3585" width="5.44140625" customWidth="1"/>
    <col min="3586" max="3586" width="22" customWidth="1"/>
    <col min="3587" max="3587" width="17" customWidth="1"/>
    <col min="3588" max="3588" width="13.6640625" customWidth="1"/>
    <col min="3589" max="3589" width="15.88671875" customWidth="1"/>
    <col min="3590" max="3596" width="13.6640625" customWidth="1"/>
    <col min="3597" max="3597" width="12.5546875" customWidth="1"/>
    <col min="3598" max="3598" width="11.88671875" customWidth="1"/>
    <col min="3841" max="3841" width="5.44140625" customWidth="1"/>
    <col min="3842" max="3842" width="22" customWidth="1"/>
    <col min="3843" max="3843" width="17" customWidth="1"/>
    <col min="3844" max="3844" width="13.6640625" customWidth="1"/>
    <col min="3845" max="3845" width="15.88671875" customWidth="1"/>
    <col min="3846" max="3852" width="13.6640625" customWidth="1"/>
    <col min="3853" max="3853" width="12.5546875" customWidth="1"/>
    <col min="3854" max="3854" width="11.88671875" customWidth="1"/>
    <col min="4097" max="4097" width="5.44140625" customWidth="1"/>
    <col min="4098" max="4098" width="22" customWidth="1"/>
    <col min="4099" max="4099" width="17" customWidth="1"/>
    <col min="4100" max="4100" width="13.6640625" customWidth="1"/>
    <col min="4101" max="4101" width="15.88671875" customWidth="1"/>
    <col min="4102" max="4108" width="13.6640625" customWidth="1"/>
    <col min="4109" max="4109" width="12.5546875" customWidth="1"/>
    <col min="4110" max="4110" width="11.88671875" customWidth="1"/>
    <col min="4353" max="4353" width="5.44140625" customWidth="1"/>
    <col min="4354" max="4354" width="22" customWidth="1"/>
    <col min="4355" max="4355" width="17" customWidth="1"/>
    <col min="4356" max="4356" width="13.6640625" customWidth="1"/>
    <col min="4357" max="4357" width="15.88671875" customWidth="1"/>
    <col min="4358" max="4364" width="13.6640625" customWidth="1"/>
    <col min="4365" max="4365" width="12.5546875" customWidth="1"/>
    <col min="4366" max="4366" width="11.88671875" customWidth="1"/>
    <col min="4609" max="4609" width="5.44140625" customWidth="1"/>
    <col min="4610" max="4610" width="22" customWidth="1"/>
    <col min="4611" max="4611" width="17" customWidth="1"/>
    <col min="4612" max="4612" width="13.6640625" customWidth="1"/>
    <col min="4613" max="4613" width="15.88671875" customWidth="1"/>
    <col min="4614" max="4620" width="13.6640625" customWidth="1"/>
    <col min="4621" max="4621" width="12.5546875" customWidth="1"/>
    <col min="4622" max="4622" width="11.88671875" customWidth="1"/>
    <col min="4865" max="4865" width="5.44140625" customWidth="1"/>
    <col min="4866" max="4866" width="22" customWidth="1"/>
    <col min="4867" max="4867" width="17" customWidth="1"/>
    <col min="4868" max="4868" width="13.6640625" customWidth="1"/>
    <col min="4869" max="4869" width="15.88671875" customWidth="1"/>
    <col min="4870" max="4876" width="13.6640625" customWidth="1"/>
    <col min="4877" max="4877" width="12.5546875" customWidth="1"/>
    <col min="4878" max="4878" width="11.88671875" customWidth="1"/>
    <col min="5121" max="5121" width="5.44140625" customWidth="1"/>
    <col min="5122" max="5122" width="22" customWidth="1"/>
    <col min="5123" max="5123" width="17" customWidth="1"/>
    <col min="5124" max="5124" width="13.6640625" customWidth="1"/>
    <col min="5125" max="5125" width="15.88671875" customWidth="1"/>
    <col min="5126" max="5132" width="13.6640625" customWidth="1"/>
    <col min="5133" max="5133" width="12.5546875" customWidth="1"/>
    <col min="5134" max="5134" width="11.88671875" customWidth="1"/>
    <col min="5377" max="5377" width="5.44140625" customWidth="1"/>
    <col min="5378" max="5378" width="22" customWidth="1"/>
    <col min="5379" max="5379" width="17" customWidth="1"/>
    <col min="5380" max="5380" width="13.6640625" customWidth="1"/>
    <col min="5381" max="5381" width="15.88671875" customWidth="1"/>
    <col min="5382" max="5388" width="13.6640625" customWidth="1"/>
    <col min="5389" max="5389" width="12.5546875" customWidth="1"/>
    <col min="5390" max="5390" width="11.88671875" customWidth="1"/>
    <col min="5633" max="5633" width="5.44140625" customWidth="1"/>
    <col min="5634" max="5634" width="22" customWidth="1"/>
    <col min="5635" max="5635" width="17" customWidth="1"/>
    <col min="5636" max="5636" width="13.6640625" customWidth="1"/>
    <col min="5637" max="5637" width="15.88671875" customWidth="1"/>
    <col min="5638" max="5644" width="13.6640625" customWidth="1"/>
    <col min="5645" max="5645" width="12.5546875" customWidth="1"/>
    <col min="5646" max="5646" width="11.88671875" customWidth="1"/>
    <col min="5889" max="5889" width="5.44140625" customWidth="1"/>
    <col min="5890" max="5890" width="22" customWidth="1"/>
    <col min="5891" max="5891" width="17" customWidth="1"/>
    <col min="5892" max="5892" width="13.6640625" customWidth="1"/>
    <col min="5893" max="5893" width="15.88671875" customWidth="1"/>
    <col min="5894" max="5900" width="13.6640625" customWidth="1"/>
    <col min="5901" max="5901" width="12.5546875" customWidth="1"/>
    <col min="5902" max="5902" width="11.88671875" customWidth="1"/>
    <col min="6145" max="6145" width="5.44140625" customWidth="1"/>
    <col min="6146" max="6146" width="22" customWidth="1"/>
    <col min="6147" max="6147" width="17" customWidth="1"/>
    <col min="6148" max="6148" width="13.6640625" customWidth="1"/>
    <col min="6149" max="6149" width="15.88671875" customWidth="1"/>
    <col min="6150" max="6156" width="13.6640625" customWidth="1"/>
    <col min="6157" max="6157" width="12.5546875" customWidth="1"/>
    <col min="6158" max="6158" width="11.88671875" customWidth="1"/>
    <col min="6401" max="6401" width="5.44140625" customWidth="1"/>
    <col min="6402" max="6402" width="22" customWidth="1"/>
    <col min="6403" max="6403" width="17" customWidth="1"/>
    <col min="6404" max="6404" width="13.6640625" customWidth="1"/>
    <col min="6405" max="6405" width="15.88671875" customWidth="1"/>
    <col min="6406" max="6412" width="13.6640625" customWidth="1"/>
    <col min="6413" max="6413" width="12.5546875" customWidth="1"/>
    <col min="6414" max="6414" width="11.88671875" customWidth="1"/>
    <col min="6657" max="6657" width="5.44140625" customWidth="1"/>
    <col min="6658" max="6658" width="22" customWidth="1"/>
    <col min="6659" max="6659" width="17" customWidth="1"/>
    <col min="6660" max="6660" width="13.6640625" customWidth="1"/>
    <col min="6661" max="6661" width="15.88671875" customWidth="1"/>
    <col min="6662" max="6668" width="13.6640625" customWidth="1"/>
    <col min="6669" max="6669" width="12.5546875" customWidth="1"/>
    <col min="6670" max="6670" width="11.88671875" customWidth="1"/>
    <col min="6913" max="6913" width="5.44140625" customWidth="1"/>
    <col min="6914" max="6914" width="22" customWidth="1"/>
    <col min="6915" max="6915" width="17" customWidth="1"/>
    <col min="6916" max="6916" width="13.6640625" customWidth="1"/>
    <col min="6917" max="6917" width="15.88671875" customWidth="1"/>
    <col min="6918" max="6924" width="13.6640625" customWidth="1"/>
    <col min="6925" max="6925" width="12.5546875" customWidth="1"/>
    <col min="6926" max="6926" width="11.88671875" customWidth="1"/>
    <col min="7169" max="7169" width="5.44140625" customWidth="1"/>
    <col min="7170" max="7170" width="22" customWidth="1"/>
    <col min="7171" max="7171" width="17" customWidth="1"/>
    <col min="7172" max="7172" width="13.6640625" customWidth="1"/>
    <col min="7173" max="7173" width="15.88671875" customWidth="1"/>
    <col min="7174" max="7180" width="13.6640625" customWidth="1"/>
    <col min="7181" max="7181" width="12.5546875" customWidth="1"/>
    <col min="7182" max="7182" width="11.88671875" customWidth="1"/>
    <col min="7425" max="7425" width="5.44140625" customWidth="1"/>
    <col min="7426" max="7426" width="22" customWidth="1"/>
    <col min="7427" max="7427" width="17" customWidth="1"/>
    <col min="7428" max="7428" width="13.6640625" customWidth="1"/>
    <col min="7429" max="7429" width="15.88671875" customWidth="1"/>
    <col min="7430" max="7436" width="13.6640625" customWidth="1"/>
    <col min="7437" max="7437" width="12.5546875" customWidth="1"/>
    <col min="7438" max="7438" width="11.88671875" customWidth="1"/>
    <col min="7681" max="7681" width="5.44140625" customWidth="1"/>
    <col min="7682" max="7682" width="22" customWidth="1"/>
    <col min="7683" max="7683" width="17" customWidth="1"/>
    <col min="7684" max="7684" width="13.6640625" customWidth="1"/>
    <col min="7685" max="7685" width="15.88671875" customWidth="1"/>
    <col min="7686" max="7692" width="13.6640625" customWidth="1"/>
    <col min="7693" max="7693" width="12.5546875" customWidth="1"/>
    <col min="7694" max="7694" width="11.88671875" customWidth="1"/>
    <col min="7937" max="7937" width="5.44140625" customWidth="1"/>
    <col min="7938" max="7938" width="22" customWidth="1"/>
    <col min="7939" max="7939" width="17" customWidth="1"/>
    <col min="7940" max="7940" width="13.6640625" customWidth="1"/>
    <col min="7941" max="7941" width="15.88671875" customWidth="1"/>
    <col min="7942" max="7948" width="13.6640625" customWidth="1"/>
    <col min="7949" max="7949" width="12.5546875" customWidth="1"/>
    <col min="7950" max="7950" width="11.88671875" customWidth="1"/>
    <col min="8193" max="8193" width="5.44140625" customWidth="1"/>
    <col min="8194" max="8194" width="22" customWidth="1"/>
    <col min="8195" max="8195" width="17" customWidth="1"/>
    <col min="8196" max="8196" width="13.6640625" customWidth="1"/>
    <col min="8197" max="8197" width="15.88671875" customWidth="1"/>
    <col min="8198" max="8204" width="13.6640625" customWidth="1"/>
    <col min="8205" max="8205" width="12.5546875" customWidth="1"/>
    <col min="8206" max="8206" width="11.88671875" customWidth="1"/>
    <col min="8449" max="8449" width="5.44140625" customWidth="1"/>
    <col min="8450" max="8450" width="22" customWidth="1"/>
    <col min="8451" max="8451" width="17" customWidth="1"/>
    <col min="8452" max="8452" width="13.6640625" customWidth="1"/>
    <col min="8453" max="8453" width="15.88671875" customWidth="1"/>
    <col min="8454" max="8460" width="13.6640625" customWidth="1"/>
    <col min="8461" max="8461" width="12.5546875" customWidth="1"/>
    <col min="8462" max="8462" width="11.88671875" customWidth="1"/>
    <col min="8705" max="8705" width="5.44140625" customWidth="1"/>
    <col min="8706" max="8706" width="22" customWidth="1"/>
    <col min="8707" max="8707" width="17" customWidth="1"/>
    <col min="8708" max="8708" width="13.6640625" customWidth="1"/>
    <col min="8709" max="8709" width="15.88671875" customWidth="1"/>
    <col min="8710" max="8716" width="13.6640625" customWidth="1"/>
    <col min="8717" max="8717" width="12.5546875" customWidth="1"/>
    <col min="8718" max="8718" width="11.88671875" customWidth="1"/>
    <col min="8961" max="8961" width="5.44140625" customWidth="1"/>
    <col min="8962" max="8962" width="22" customWidth="1"/>
    <col min="8963" max="8963" width="17" customWidth="1"/>
    <col min="8964" max="8964" width="13.6640625" customWidth="1"/>
    <col min="8965" max="8965" width="15.88671875" customWidth="1"/>
    <col min="8966" max="8972" width="13.6640625" customWidth="1"/>
    <col min="8973" max="8973" width="12.5546875" customWidth="1"/>
    <col min="8974" max="8974" width="11.88671875" customWidth="1"/>
    <col min="9217" max="9217" width="5.44140625" customWidth="1"/>
    <col min="9218" max="9218" width="22" customWidth="1"/>
    <col min="9219" max="9219" width="17" customWidth="1"/>
    <col min="9220" max="9220" width="13.6640625" customWidth="1"/>
    <col min="9221" max="9221" width="15.88671875" customWidth="1"/>
    <col min="9222" max="9228" width="13.6640625" customWidth="1"/>
    <col min="9229" max="9229" width="12.5546875" customWidth="1"/>
    <col min="9230" max="9230" width="11.88671875" customWidth="1"/>
    <col min="9473" max="9473" width="5.44140625" customWidth="1"/>
    <col min="9474" max="9474" width="22" customWidth="1"/>
    <col min="9475" max="9475" width="17" customWidth="1"/>
    <col min="9476" max="9476" width="13.6640625" customWidth="1"/>
    <col min="9477" max="9477" width="15.88671875" customWidth="1"/>
    <col min="9478" max="9484" width="13.6640625" customWidth="1"/>
    <col min="9485" max="9485" width="12.5546875" customWidth="1"/>
    <col min="9486" max="9486" width="11.88671875" customWidth="1"/>
    <col min="9729" max="9729" width="5.44140625" customWidth="1"/>
    <col min="9730" max="9730" width="22" customWidth="1"/>
    <col min="9731" max="9731" width="17" customWidth="1"/>
    <col min="9732" max="9732" width="13.6640625" customWidth="1"/>
    <col min="9733" max="9733" width="15.88671875" customWidth="1"/>
    <col min="9734" max="9740" width="13.6640625" customWidth="1"/>
    <col min="9741" max="9741" width="12.5546875" customWidth="1"/>
    <col min="9742" max="9742" width="11.88671875" customWidth="1"/>
    <col min="9985" max="9985" width="5.44140625" customWidth="1"/>
    <col min="9986" max="9986" width="22" customWidth="1"/>
    <col min="9987" max="9987" width="17" customWidth="1"/>
    <col min="9988" max="9988" width="13.6640625" customWidth="1"/>
    <col min="9989" max="9989" width="15.88671875" customWidth="1"/>
    <col min="9990" max="9996" width="13.6640625" customWidth="1"/>
    <col min="9997" max="9997" width="12.5546875" customWidth="1"/>
    <col min="9998" max="9998" width="11.88671875" customWidth="1"/>
    <col min="10241" max="10241" width="5.44140625" customWidth="1"/>
    <col min="10242" max="10242" width="22" customWidth="1"/>
    <col min="10243" max="10243" width="17" customWidth="1"/>
    <col min="10244" max="10244" width="13.6640625" customWidth="1"/>
    <col min="10245" max="10245" width="15.88671875" customWidth="1"/>
    <col min="10246" max="10252" width="13.6640625" customWidth="1"/>
    <col min="10253" max="10253" width="12.5546875" customWidth="1"/>
    <col min="10254" max="10254" width="11.88671875" customWidth="1"/>
    <col min="10497" max="10497" width="5.44140625" customWidth="1"/>
    <col min="10498" max="10498" width="22" customWidth="1"/>
    <col min="10499" max="10499" width="17" customWidth="1"/>
    <col min="10500" max="10500" width="13.6640625" customWidth="1"/>
    <col min="10501" max="10501" width="15.88671875" customWidth="1"/>
    <col min="10502" max="10508" width="13.6640625" customWidth="1"/>
    <col min="10509" max="10509" width="12.5546875" customWidth="1"/>
    <col min="10510" max="10510" width="11.88671875" customWidth="1"/>
    <col min="10753" max="10753" width="5.44140625" customWidth="1"/>
    <col min="10754" max="10754" width="22" customWidth="1"/>
    <col min="10755" max="10755" width="17" customWidth="1"/>
    <col min="10756" max="10756" width="13.6640625" customWidth="1"/>
    <col min="10757" max="10757" width="15.88671875" customWidth="1"/>
    <col min="10758" max="10764" width="13.6640625" customWidth="1"/>
    <col min="10765" max="10765" width="12.5546875" customWidth="1"/>
    <col min="10766" max="10766" width="11.88671875" customWidth="1"/>
    <col min="11009" max="11009" width="5.44140625" customWidth="1"/>
    <col min="11010" max="11010" width="22" customWidth="1"/>
    <col min="11011" max="11011" width="17" customWidth="1"/>
    <col min="11012" max="11012" width="13.6640625" customWidth="1"/>
    <col min="11013" max="11013" width="15.88671875" customWidth="1"/>
    <col min="11014" max="11020" width="13.6640625" customWidth="1"/>
    <col min="11021" max="11021" width="12.5546875" customWidth="1"/>
    <col min="11022" max="11022" width="11.88671875" customWidth="1"/>
    <col min="11265" max="11265" width="5.44140625" customWidth="1"/>
    <col min="11266" max="11266" width="22" customWidth="1"/>
    <col min="11267" max="11267" width="17" customWidth="1"/>
    <col min="11268" max="11268" width="13.6640625" customWidth="1"/>
    <col min="11269" max="11269" width="15.88671875" customWidth="1"/>
    <col min="11270" max="11276" width="13.6640625" customWidth="1"/>
    <col min="11277" max="11277" width="12.5546875" customWidth="1"/>
    <col min="11278" max="11278" width="11.88671875" customWidth="1"/>
    <col min="11521" max="11521" width="5.44140625" customWidth="1"/>
    <col min="11522" max="11522" width="22" customWidth="1"/>
    <col min="11523" max="11523" width="17" customWidth="1"/>
    <col min="11524" max="11524" width="13.6640625" customWidth="1"/>
    <col min="11525" max="11525" width="15.88671875" customWidth="1"/>
    <col min="11526" max="11532" width="13.6640625" customWidth="1"/>
    <col min="11533" max="11533" width="12.5546875" customWidth="1"/>
    <col min="11534" max="11534" width="11.88671875" customWidth="1"/>
    <col min="11777" max="11777" width="5.44140625" customWidth="1"/>
    <col min="11778" max="11778" width="22" customWidth="1"/>
    <col min="11779" max="11779" width="17" customWidth="1"/>
    <col min="11780" max="11780" width="13.6640625" customWidth="1"/>
    <col min="11781" max="11781" width="15.88671875" customWidth="1"/>
    <col min="11782" max="11788" width="13.6640625" customWidth="1"/>
    <col min="11789" max="11789" width="12.5546875" customWidth="1"/>
    <col min="11790" max="11790" width="11.88671875" customWidth="1"/>
    <col min="12033" max="12033" width="5.44140625" customWidth="1"/>
    <col min="12034" max="12034" width="22" customWidth="1"/>
    <col min="12035" max="12035" width="17" customWidth="1"/>
    <col min="12036" max="12036" width="13.6640625" customWidth="1"/>
    <col min="12037" max="12037" width="15.88671875" customWidth="1"/>
    <col min="12038" max="12044" width="13.6640625" customWidth="1"/>
    <col min="12045" max="12045" width="12.5546875" customWidth="1"/>
    <col min="12046" max="12046" width="11.88671875" customWidth="1"/>
    <col min="12289" max="12289" width="5.44140625" customWidth="1"/>
    <col min="12290" max="12290" width="22" customWidth="1"/>
    <col min="12291" max="12291" width="17" customWidth="1"/>
    <col min="12292" max="12292" width="13.6640625" customWidth="1"/>
    <col min="12293" max="12293" width="15.88671875" customWidth="1"/>
    <col min="12294" max="12300" width="13.6640625" customWidth="1"/>
    <col min="12301" max="12301" width="12.5546875" customWidth="1"/>
    <col min="12302" max="12302" width="11.88671875" customWidth="1"/>
    <col min="12545" max="12545" width="5.44140625" customWidth="1"/>
    <col min="12546" max="12546" width="22" customWidth="1"/>
    <col min="12547" max="12547" width="17" customWidth="1"/>
    <col min="12548" max="12548" width="13.6640625" customWidth="1"/>
    <col min="12549" max="12549" width="15.88671875" customWidth="1"/>
    <col min="12550" max="12556" width="13.6640625" customWidth="1"/>
    <col min="12557" max="12557" width="12.5546875" customWidth="1"/>
    <col min="12558" max="12558" width="11.88671875" customWidth="1"/>
    <col min="12801" max="12801" width="5.44140625" customWidth="1"/>
    <col min="12802" max="12802" width="22" customWidth="1"/>
    <col min="12803" max="12803" width="17" customWidth="1"/>
    <col min="12804" max="12804" width="13.6640625" customWidth="1"/>
    <col min="12805" max="12805" width="15.88671875" customWidth="1"/>
    <col min="12806" max="12812" width="13.6640625" customWidth="1"/>
    <col min="12813" max="12813" width="12.5546875" customWidth="1"/>
    <col min="12814" max="12814" width="11.88671875" customWidth="1"/>
    <col min="13057" max="13057" width="5.44140625" customWidth="1"/>
    <col min="13058" max="13058" width="22" customWidth="1"/>
    <col min="13059" max="13059" width="17" customWidth="1"/>
    <col min="13060" max="13060" width="13.6640625" customWidth="1"/>
    <col min="13061" max="13061" width="15.88671875" customWidth="1"/>
    <col min="13062" max="13068" width="13.6640625" customWidth="1"/>
    <col min="13069" max="13069" width="12.5546875" customWidth="1"/>
    <col min="13070" max="13070" width="11.88671875" customWidth="1"/>
    <col min="13313" max="13313" width="5.44140625" customWidth="1"/>
    <col min="13314" max="13314" width="22" customWidth="1"/>
    <col min="13315" max="13315" width="17" customWidth="1"/>
    <col min="13316" max="13316" width="13.6640625" customWidth="1"/>
    <col min="13317" max="13317" width="15.88671875" customWidth="1"/>
    <col min="13318" max="13324" width="13.6640625" customWidth="1"/>
    <col min="13325" max="13325" width="12.5546875" customWidth="1"/>
    <col min="13326" max="13326" width="11.88671875" customWidth="1"/>
    <col min="13569" max="13569" width="5.44140625" customWidth="1"/>
    <col min="13570" max="13570" width="22" customWidth="1"/>
    <col min="13571" max="13571" width="17" customWidth="1"/>
    <col min="13572" max="13572" width="13.6640625" customWidth="1"/>
    <col min="13573" max="13573" width="15.88671875" customWidth="1"/>
    <col min="13574" max="13580" width="13.6640625" customWidth="1"/>
    <col min="13581" max="13581" width="12.5546875" customWidth="1"/>
    <col min="13582" max="13582" width="11.88671875" customWidth="1"/>
    <col min="13825" max="13825" width="5.44140625" customWidth="1"/>
    <col min="13826" max="13826" width="22" customWidth="1"/>
    <col min="13827" max="13827" width="17" customWidth="1"/>
    <col min="13828" max="13828" width="13.6640625" customWidth="1"/>
    <col min="13829" max="13829" width="15.88671875" customWidth="1"/>
    <col min="13830" max="13836" width="13.6640625" customWidth="1"/>
    <col min="13837" max="13837" width="12.5546875" customWidth="1"/>
    <col min="13838" max="13838" width="11.88671875" customWidth="1"/>
    <col min="14081" max="14081" width="5.44140625" customWidth="1"/>
    <col min="14082" max="14082" width="22" customWidth="1"/>
    <col min="14083" max="14083" width="17" customWidth="1"/>
    <col min="14084" max="14084" width="13.6640625" customWidth="1"/>
    <col min="14085" max="14085" width="15.88671875" customWidth="1"/>
    <col min="14086" max="14092" width="13.6640625" customWidth="1"/>
    <col min="14093" max="14093" width="12.5546875" customWidth="1"/>
    <col min="14094" max="14094" width="11.88671875" customWidth="1"/>
    <col min="14337" max="14337" width="5.44140625" customWidth="1"/>
    <col min="14338" max="14338" width="22" customWidth="1"/>
    <col min="14339" max="14339" width="17" customWidth="1"/>
    <col min="14340" max="14340" width="13.6640625" customWidth="1"/>
    <col min="14341" max="14341" width="15.88671875" customWidth="1"/>
    <col min="14342" max="14348" width="13.6640625" customWidth="1"/>
    <col min="14349" max="14349" width="12.5546875" customWidth="1"/>
    <col min="14350" max="14350" width="11.88671875" customWidth="1"/>
    <col min="14593" max="14593" width="5.44140625" customWidth="1"/>
    <col min="14594" max="14594" width="22" customWidth="1"/>
    <col min="14595" max="14595" width="17" customWidth="1"/>
    <col min="14596" max="14596" width="13.6640625" customWidth="1"/>
    <col min="14597" max="14597" width="15.88671875" customWidth="1"/>
    <col min="14598" max="14604" width="13.6640625" customWidth="1"/>
    <col min="14605" max="14605" width="12.5546875" customWidth="1"/>
    <col min="14606" max="14606" width="11.88671875" customWidth="1"/>
    <col min="14849" max="14849" width="5.44140625" customWidth="1"/>
    <col min="14850" max="14850" width="22" customWidth="1"/>
    <col min="14851" max="14851" width="17" customWidth="1"/>
    <col min="14852" max="14852" width="13.6640625" customWidth="1"/>
    <col min="14853" max="14853" width="15.88671875" customWidth="1"/>
    <col min="14854" max="14860" width="13.6640625" customWidth="1"/>
    <col min="14861" max="14861" width="12.5546875" customWidth="1"/>
    <col min="14862" max="14862" width="11.88671875" customWidth="1"/>
    <col min="15105" max="15105" width="5.44140625" customWidth="1"/>
    <col min="15106" max="15106" width="22" customWidth="1"/>
    <col min="15107" max="15107" width="17" customWidth="1"/>
    <col min="15108" max="15108" width="13.6640625" customWidth="1"/>
    <col min="15109" max="15109" width="15.88671875" customWidth="1"/>
    <col min="15110" max="15116" width="13.6640625" customWidth="1"/>
    <col min="15117" max="15117" width="12.5546875" customWidth="1"/>
    <col min="15118" max="15118" width="11.88671875" customWidth="1"/>
    <col min="15361" max="15361" width="5.44140625" customWidth="1"/>
    <col min="15362" max="15362" width="22" customWidth="1"/>
    <col min="15363" max="15363" width="17" customWidth="1"/>
    <col min="15364" max="15364" width="13.6640625" customWidth="1"/>
    <col min="15365" max="15365" width="15.88671875" customWidth="1"/>
    <col min="15366" max="15372" width="13.6640625" customWidth="1"/>
    <col min="15373" max="15373" width="12.5546875" customWidth="1"/>
    <col min="15374" max="15374" width="11.88671875" customWidth="1"/>
    <col min="15617" max="15617" width="5.44140625" customWidth="1"/>
    <col min="15618" max="15618" width="22" customWidth="1"/>
    <col min="15619" max="15619" width="17" customWidth="1"/>
    <col min="15620" max="15620" width="13.6640625" customWidth="1"/>
    <col min="15621" max="15621" width="15.88671875" customWidth="1"/>
    <col min="15622" max="15628" width="13.6640625" customWidth="1"/>
    <col min="15629" max="15629" width="12.5546875" customWidth="1"/>
    <col min="15630" max="15630" width="11.88671875" customWidth="1"/>
    <col min="15873" max="15873" width="5.44140625" customWidth="1"/>
    <col min="15874" max="15874" width="22" customWidth="1"/>
    <col min="15875" max="15875" width="17" customWidth="1"/>
    <col min="15876" max="15876" width="13.6640625" customWidth="1"/>
    <col min="15877" max="15877" width="15.88671875" customWidth="1"/>
    <col min="15878" max="15884" width="13.6640625" customWidth="1"/>
    <col min="15885" max="15885" width="12.5546875" customWidth="1"/>
    <col min="15886" max="15886" width="11.88671875" customWidth="1"/>
    <col min="16129" max="16129" width="5.44140625" customWidth="1"/>
    <col min="16130" max="16130" width="22" customWidth="1"/>
    <col min="16131" max="16131" width="17" customWidth="1"/>
    <col min="16132" max="16132" width="13.6640625" customWidth="1"/>
    <col min="16133" max="16133" width="15.88671875" customWidth="1"/>
    <col min="16134" max="16140" width="13.6640625" customWidth="1"/>
    <col min="16141" max="16141" width="12.5546875" customWidth="1"/>
    <col min="16142" max="16142" width="11.88671875" customWidth="1"/>
  </cols>
  <sheetData>
    <row r="1" spans="1:15" ht="15.6" x14ac:dyDescent="0.3">
      <c r="A1" s="1"/>
      <c r="B1" s="2" t="s">
        <v>67</v>
      </c>
      <c r="C1" s="3"/>
      <c r="D1" s="4" t="s">
        <v>71</v>
      </c>
      <c r="E1" s="5"/>
      <c r="F1" s="6"/>
      <c r="G1" s="151" t="s">
        <v>63</v>
      </c>
      <c r="H1" s="151"/>
      <c r="I1" s="151"/>
      <c r="J1" s="152"/>
      <c r="K1" s="152"/>
      <c r="L1" s="152"/>
      <c r="M1" s="171"/>
      <c r="N1" s="3"/>
      <c r="O1" s="11"/>
    </row>
    <row r="2" spans="1:15" ht="15.75" x14ac:dyDescent="0.25">
      <c r="A2" s="41"/>
      <c r="B2" s="169"/>
      <c r="C2" s="13"/>
      <c r="D2" s="168"/>
      <c r="E2" s="12"/>
      <c r="F2" s="11"/>
      <c r="G2" s="170"/>
      <c r="H2" s="170"/>
      <c r="I2" s="170"/>
      <c r="J2" s="89"/>
      <c r="K2" s="172" t="s">
        <v>66</v>
      </c>
      <c r="L2" s="172"/>
      <c r="M2" s="173"/>
      <c r="N2" s="13"/>
      <c r="O2" s="11"/>
    </row>
    <row r="3" spans="1:15" ht="15" thickBot="1" x14ac:dyDescent="0.35">
      <c r="A3" s="54"/>
      <c r="B3" s="8" t="s">
        <v>0</v>
      </c>
      <c r="C3" s="9"/>
      <c r="D3" s="10" t="s">
        <v>69</v>
      </c>
      <c r="E3" s="11"/>
      <c r="F3" s="12"/>
      <c r="G3" s="12"/>
      <c r="H3" s="12"/>
      <c r="I3" s="12"/>
      <c r="J3" s="12"/>
      <c r="K3" s="12"/>
      <c r="L3" s="12"/>
      <c r="M3" s="11"/>
      <c r="N3" s="13"/>
      <c r="O3" s="11"/>
    </row>
    <row r="4" spans="1:15" ht="15.75" thickBot="1" x14ac:dyDescent="0.3">
      <c r="A4" s="96"/>
      <c r="B4" s="97" t="s">
        <v>1</v>
      </c>
      <c r="C4" s="98" t="s">
        <v>2</v>
      </c>
      <c r="D4" s="99"/>
      <c r="E4" s="18"/>
      <c r="F4" s="18"/>
      <c r="G4" s="177" t="s">
        <v>3</v>
      </c>
      <c r="H4" s="177"/>
      <c r="I4" s="177"/>
      <c r="J4" s="177"/>
      <c r="K4" s="177"/>
      <c r="L4" s="177"/>
      <c r="M4" s="177"/>
      <c r="N4" s="178"/>
    </row>
    <row r="5" spans="1:15" ht="15.75" thickBot="1" x14ac:dyDescent="0.3">
      <c r="A5" s="21" t="s">
        <v>4</v>
      </c>
      <c r="B5" s="100"/>
      <c r="C5" s="101"/>
      <c r="D5" s="24">
        <v>1</v>
      </c>
      <c r="E5" s="24">
        <v>2</v>
      </c>
      <c r="F5" s="24">
        <v>3</v>
      </c>
      <c r="G5" s="24">
        <v>4</v>
      </c>
      <c r="H5" s="24">
        <v>5</v>
      </c>
      <c r="I5" s="24">
        <v>6</v>
      </c>
      <c r="J5" s="24">
        <v>7</v>
      </c>
      <c r="K5" s="24">
        <v>8</v>
      </c>
      <c r="L5" s="24">
        <v>9</v>
      </c>
      <c r="M5" s="26">
        <v>10</v>
      </c>
      <c r="N5" s="26">
        <v>11</v>
      </c>
    </row>
    <row r="6" spans="1:15" ht="15.6" x14ac:dyDescent="0.3">
      <c r="A6" s="102" t="s">
        <v>5</v>
      </c>
      <c r="B6" s="103" t="s">
        <v>6</v>
      </c>
      <c r="C6" s="104" t="s">
        <v>7</v>
      </c>
      <c r="D6" s="105"/>
      <c r="E6" s="165"/>
      <c r="F6" s="165"/>
      <c r="G6" s="174">
        <f>523756.8+(523756.8*1.1%)+10000+5733+(545251*4.5%)+10000+5340+12000+12000+5160</f>
        <v>614287.41980000003</v>
      </c>
      <c r="H6" s="30">
        <f>535988.25+(535988.25*1.1%)+10000+5733+(557617*4.5%)+10000+5340+12000+12000+5160</f>
        <v>627209.88575000002</v>
      </c>
      <c r="I6" s="30">
        <f>548219.7+(548219.7*1.1%)+10000+5733+(569983*4.5%)+10000+5340+12000+12000+5160</f>
        <v>640132.35169999988</v>
      </c>
      <c r="J6" s="30">
        <f>560451.15+(560451.15*1.1%)+10000+5733+(582349*4.5%)+10000+5340+12000+12000+5160</f>
        <v>653054.81764999998</v>
      </c>
      <c r="K6" s="31">
        <f>576018.45+(576018.45*1.1%)+10000+5733+(598088*4.5%)+10000+5340+12000+12000+5160</f>
        <v>669501.61294999986</v>
      </c>
      <c r="L6" s="32">
        <f>591018.45+(591018.45*1.1%)+10000+5733+(613253*4.5%)+10000+5340+12000+12000+5160</f>
        <v>685349.03794999991</v>
      </c>
      <c r="M6" s="33">
        <f>606018.45+(606018.45*1.1%)+10000+5733+(628418*4.5%)+10000+5340+12000+12000+5160</f>
        <v>701196.46294999984</v>
      </c>
      <c r="N6" s="34">
        <f>656696+12500+10000+6340+12000+12000+5160</f>
        <v>714696</v>
      </c>
    </row>
    <row r="7" spans="1:15" x14ac:dyDescent="0.3">
      <c r="A7" s="106"/>
      <c r="B7" s="107" t="s">
        <v>8</v>
      </c>
      <c r="C7" s="108" t="s">
        <v>52</v>
      </c>
      <c r="D7" s="38"/>
      <c r="E7" s="42"/>
      <c r="F7" s="42"/>
      <c r="G7" s="153">
        <v>1</v>
      </c>
      <c r="H7" s="153">
        <v>1</v>
      </c>
      <c r="I7" s="153">
        <v>1</v>
      </c>
      <c r="J7" s="153">
        <v>1</v>
      </c>
      <c r="K7" s="153">
        <v>1</v>
      </c>
      <c r="L7" s="153">
        <v>1</v>
      </c>
      <c r="M7" s="153">
        <v>1</v>
      </c>
      <c r="N7" s="153">
        <v>1</v>
      </c>
    </row>
    <row r="8" spans="1:15" x14ac:dyDescent="0.3">
      <c r="A8" s="106"/>
      <c r="B8" s="107" t="s">
        <v>9</v>
      </c>
      <c r="C8" s="108" t="s">
        <v>53</v>
      </c>
      <c r="D8" s="38"/>
      <c r="E8" s="42"/>
      <c r="F8" s="42"/>
      <c r="G8" s="180">
        <f t="shared" ref="G8:N8" si="0">((G6)-(G7*146))/12</f>
        <v>51178.451650000003</v>
      </c>
      <c r="H8" s="180">
        <f t="shared" si="0"/>
        <v>52255.323812499999</v>
      </c>
      <c r="I8" s="180">
        <f t="shared" si="0"/>
        <v>53332.195974999988</v>
      </c>
      <c r="J8" s="180">
        <f t="shared" si="0"/>
        <v>54409.068137499999</v>
      </c>
      <c r="K8" s="180">
        <f t="shared" si="0"/>
        <v>55779.634412499989</v>
      </c>
      <c r="L8" s="154">
        <f t="shared" si="0"/>
        <v>57100.25316249999</v>
      </c>
      <c r="M8" s="154">
        <f t="shared" si="0"/>
        <v>58420.871912499984</v>
      </c>
      <c r="N8" s="154">
        <f t="shared" si="0"/>
        <v>59545.833333333336</v>
      </c>
    </row>
    <row r="9" spans="1:15" x14ac:dyDescent="0.3">
      <c r="A9" s="106"/>
      <c r="B9" s="107" t="s">
        <v>10</v>
      </c>
      <c r="C9" s="108" t="s">
        <v>54</v>
      </c>
      <c r="D9" s="38"/>
      <c r="E9" s="42"/>
      <c r="F9" s="42"/>
      <c r="G9" s="180">
        <f t="shared" ref="G9:K9" si="1">G8*47.08/52.14</f>
        <v>46211.766468776375</v>
      </c>
      <c r="H9" s="180">
        <f t="shared" si="1"/>
        <v>47184.13205010548</v>
      </c>
      <c r="I9" s="180">
        <f t="shared" si="1"/>
        <v>48156.497631434584</v>
      </c>
      <c r="J9" s="180">
        <f t="shared" si="1"/>
        <v>49128.86321276371</v>
      </c>
      <c r="K9" s="180">
        <f t="shared" si="1"/>
        <v>50366.420946308004</v>
      </c>
      <c r="L9" s="154">
        <f>L8*47.08/52.14</f>
        <v>51558.878383016869</v>
      </c>
      <c r="M9" s="154">
        <f>M8*47.08/52.14</f>
        <v>52751.335819725718</v>
      </c>
      <c r="N9" s="154">
        <f>N8*47.08/52.14</f>
        <v>53767.123769338963</v>
      </c>
    </row>
    <row r="10" spans="1:15" x14ac:dyDescent="0.3">
      <c r="A10" s="106"/>
      <c r="B10" s="107" t="s">
        <v>11</v>
      </c>
      <c r="C10" s="116" t="s">
        <v>55</v>
      </c>
      <c r="D10" s="44"/>
      <c r="E10" s="42"/>
      <c r="F10" s="42"/>
      <c r="G10" s="45">
        <f t="shared" ref="G10:K10" si="2">G6/1752</f>
        <v>350.62067340182648</v>
      </c>
      <c r="H10" s="45">
        <f t="shared" si="2"/>
        <v>357.99651013127857</v>
      </c>
      <c r="I10" s="45">
        <f t="shared" si="2"/>
        <v>365.37234686073054</v>
      </c>
      <c r="J10" s="45">
        <f t="shared" si="2"/>
        <v>372.74818359018263</v>
      </c>
      <c r="K10" s="45">
        <f t="shared" si="2"/>
        <v>382.13562382990858</v>
      </c>
      <c r="L10" s="155">
        <f>L6/1752</f>
        <v>391.18095773401819</v>
      </c>
      <c r="M10" s="155">
        <f>M6/1752</f>
        <v>400.22629163812775</v>
      </c>
      <c r="N10" s="155">
        <f>N6/1752</f>
        <v>407.93150684931504</v>
      </c>
    </row>
    <row r="11" spans="1:15" ht="15" x14ac:dyDescent="0.25">
      <c r="A11" s="106"/>
      <c r="B11" s="120" t="s">
        <v>12</v>
      </c>
      <c r="C11" s="116" t="s">
        <v>56</v>
      </c>
      <c r="D11" s="44"/>
      <c r="E11" s="42"/>
      <c r="F11" s="42"/>
      <c r="G11" s="45">
        <f t="shared" ref="G11:K11" si="3">G6/1752*1.65</f>
        <v>578.52411111301365</v>
      </c>
      <c r="H11" s="45">
        <f t="shared" si="3"/>
        <v>590.69424171660955</v>
      </c>
      <c r="I11" s="45">
        <f t="shared" si="3"/>
        <v>602.86437232020535</v>
      </c>
      <c r="J11" s="45">
        <f t="shared" si="3"/>
        <v>615.03450292380137</v>
      </c>
      <c r="K11" s="45">
        <f t="shared" si="3"/>
        <v>630.52377931934916</v>
      </c>
      <c r="L11" s="155">
        <f>L6/1752*1.65</f>
        <v>645.44858026113002</v>
      </c>
      <c r="M11" s="155">
        <f>M6/1752*1.65</f>
        <v>660.37338120291076</v>
      </c>
      <c r="N11" s="155">
        <f>N6/1752*1.65</f>
        <v>673.08698630136973</v>
      </c>
    </row>
    <row r="12" spans="1:15" ht="17.399999999999999" x14ac:dyDescent="0.3">
      <c r="A12" s="106"/>
      <c r="B12" s="48" t="s">
        <v>64</v>
      </c>
      <c r="C12" s="116" t="s">
        <v>57</v>
      </c>
      <c r="D12" s="44"/>
      <c r="E12" s="42"/>
      <c r="F12" s="42"/>
      <c r="G12" s="45">
        <f t="shared" ref="G12:K12" si="4">G8/162.5</f>
        <v>314.94431784615387</v>
      </c>
      <c r="H12" s="45">
        <f t="shared" si="4"/>
        <v>321.57122346153847</v>
      </c>
      <c r="I12" s="45">
        <f t="shared" si="4"/>
        <v>328.19812907692301</v>
      </c>
      <c r="J12" s="45">
        <f t="shared" si="4"/>
        <v>334.82503469230767</v>
      </c>
      <c r="K12" s="45">
        <f t="shared" si="4"/>
        <v>343.25928869230762</v>
      </c>
      <c r="L12" s="155">
        <f>L8/162.5</f>
        <v>351.38617330769227</v>
      </c>
      <c r="M12" s="155">
        <f>M8/162.5</f>
        <v>359.51305792307681</v>
      </c>
      <c r="N12" s="155">
        <f>N8/162.5</f>
        <v>366.43589743589746</v>
      </c>
    </row>
    <row r="13" spans="1:15" ht="15" x14ac:dyDescent="0.25">
      <c r="A13" s="106"/>
      <c r="B13" s="42"/>
      <c r="C13" s="116" t="s">
        <v>58</v>
      </c>
      <c r="D13" s="44"/>
      <c r="E13" s="42"/>
      <c r="F13" s="42"/>
      <c r="G13" s="45">
        <f t="shared" ref="G13:K13" si="5">G12*1.5</f>
        <v>472.41647676923083</v>
      </c>
      <c r="H13" s="45">
        <f t="shared" si="5"/>
        <v>482.3568351923077</v>
      </c>
      <c r="I13" s="45">
        <f t="shared" si="5"/>
        <v>492.29719361538451</v>
      </c>
      <c r="J13" s="45">
        <f t="shared" si="5"/>
        <v>502.2375520384615</v>
      </c>
      <c r="K13" s="45">
        <f t="shared" si="5"/>
        <v>514.88893303846146</v>
      </c>
      <c r="L13" s="155">
        <f>L12*1.5</f>
        <v>527.07925996153836</v>
      </c>
      <c r="M13" s="155">
        <f>M12*1.5</f>
        <v>539.26958688461525</v>
      </c>
      <c r="N13" s="155">
        <f>N12*1.5</f>
        <v>549.65384615384619</v>
      </c>
    </row>
    <row r="14" spans="1:15" ht="15.75" thickBot="1" x14ac:dyDescent="0.3">
      <c r="A14" s="106"/>
      <c r="B14" s="121"/>
      <c r="C14" s="122" t="s">
        <v>59</v>
      </c>
      <c r="D14" s="51"/>
      <c r="E14" s="55"/>
      <c r="F14" s="55"/>
      <c r="G14" s="52">
        <f t="shared" ref="G14:K14" si="6">G12*2</f>
        <v>629.88863569230773</v>
      </c>
      <c r="H14" s="52">
        <f t="shared" si="6"/>
        <v>643.14244692307693</v>
      </c>
      <c r="I14" s="52">
        <f t="shared" si="6"/>
        <v>656.39625815384602</v>
      </c>
      <c r="J14" s="52">
        <f t="shared" si="6"/>
        <v>669.65006938461534</v>
      </c>
      <c r="K14" s="52">
        <f t="shared" si="6"/>
        <v>686.51857738461524</v>
      </c>
      <c r="L14" s="156">
        <f>L12*2</f>
        <v>702.77234661538455</v>
      </c>
      <c r="M14" s="156">
        <f>M12*2</f>
        <v>719.02611584615363</v>
      </c>
      <c r="N14" s="156">
        <f>N12*2</f>
        <v>732.87179487179492</v>
      </c>
    </row>
    <row r="15" spans="1:15" ht="15.6" x14ac:dyDescent="0.3">
      <c r="A15" s="126" t="s">
        <v>13</v>
      </c>
      <c r="B15" s="127" t="s">
        <v>14</v>
      </c>
      <c r="C15" s="104" t="s">
        <v>7</v>
      </c>
      <c r="D15" s="38"/>
      <c r="E15" s="160"/>
      <c r="F15" s="174">
        <f>490413+(490413*1.1%)+10000+5733+(511541*4.5%)+10000+5340+12000+12000+5160</f>
        <v>579059.88800000004</v>
      </c>
      <c r="G15" s="30">
        <f>502261.2+(502261.2*1.1%)+10000+5733+(523519*4.5%)+10000+5340+12000+12000+5160</f>
        <v>591577.42819999997</v>
      </c>
      <c r="H15" s="30">
        <f>514107.3+(514107.3*1.1%)+10000+5733+(535495*4.5%)+10000+5340+12000+12000+5160</f>
        <v>604092.75529999996</v>
      </c>
      <c r="I15" s="30">
        <f>525953.4+(525953.4*1.1%)+10000+5733+(547472*4.5%)+10000+5340+12000+12000+5160</f>
        <v>616608.1274</v>
      </c>
      <c r="J15" s="30">
        <f>537800.55+(537800.55*1.1%)+10000+5733+(559449*4.5%)+10000+5340+12000+12000+5160</f>
        <v>629124.56105000002</v>
      </c>
      <c r="K15" s="31">
        <f>553330.05+(553330.05*1.1%)+10000+5733+(575150*4.5%)+10000+5340+12000+12000+5160</f>
        <v>645531.43055000005</v>
      </c>
      <c r="L15" s="33">
        <f>568330.05+(568330.05*1.1%)+10000+5733+(590315*4.5%)+10000+5340+12000+12000+5160</f>
        <v>661378.85555000009</v>
      </c>
      <c r="M15" s="34">
        <f>616879+12500+10000+6340+12000+12000+5160</f>
        <v>674879</v>
      </c>
    </row>
    <row r="16" spans="1:15" x14ac:dyDescent="0.3">
      <c r="A16" s="128"/>
      <c r="B16" s="127" t="s">
        <v>15</v>
      </c>
      <c r="C16" s="108" t="s">
        <v>52</v>
      </c>
      <c r="D16" s="38"/>
      <c r="E16" s="38"/>
      <c r="F16" s="157">
        <v>1</v>
      </c>
      <c r="G16" s="157">
        <v>1</v>
      </c>
      <c r="H16" s="157">
        <v>1</v>
      </c>
      <c r="I16" s="157">
        <v>1</v>
      </c>
      <c r="J16" s="157">
        <v>1</v>
      </c>
      <c r="K16" s="157">
        <v>1</v>
      </c>
      <c r="L16" s="157">
        <v>1</v>
      </c>
      <c r="M16" s="157">
        <v>1</v>
      </c>
    </row>
    <row r="17" spans="1:13" x14ac:dyDescent="0.3">
      <c r="A17" s="128"/>
      <c r="B17" s="127" t="s">
        <v>16</v>
      </c>
      <c r="C17" s="108" t="s">
        <v>53</v>
      </c>
      <c r="D17" s="38"/>
      <c r="E17" s="38"/>
      <c r="F17" s="181">
        <f t="shared" ref="F17:K17" si="7">((F15)-(F16*146))/12</f>
        <v>48242.824000000001</v>
      </c>
      <c r="G17" s="182">
        <f t="shared" si="7"/>
        <v>49285.95235</v>
      </c>
      <c r="H17" s="181">
        <f t="shared" si="7"/>
        <v>50328.896274999999</v>
      </c>
      <c r="I17" s="182">
        <f t="shared" si="7"/>
        <v>51371.843950000002</v>
      </c>
      <c r="J17" s="181">
        <f t="shared" si="7"/>
        <v>52414.880087500002</v>
      </c>
      <c r="K17" s="182">
        <f t="shared" si="7"/>
        <v>53782.119212500002</v>
      </c>
      <c r="L17" s="154">
        <f>((L15)-(L16*146))/12</f>
        <v>55102.73796250001</v>
      </c>
      <c r="M17" s="154">
        <f>((M15)-(M16*146))/12</f>
        <v>56227.75</v>
      </c>
    </row>
    <row r="18" spans="1:13" x14ac:dyDescent="0.3">
      <c r="A18" s="128"/>
      <c r="B18" s="127" t="s">
        <v>17</v>
      </c>
      <c r="C18" s="108" t="s">
        <v>54</v>
      </c>
      <c r="D18" s="38"/>
      <c r="E18" s="38"/>
      <c r="F18" s="181">
        <f t="shared" ref="F18:K18" si="8">F17*47.08/52.14</f>
        <v>43561.030953586494</v>
      </c>
      <c r="G18" s="182">
        <f t="shared" si="8"/>
        <v>44502.927438396619</v>
      </c>
      <c r="H18" s="181">
        <f t="shared" si="8"/>
        <v>45444.657395991562</v>
      </c>
      <c r="I18" s="182">
        <f t="shared" si="8"/>
        <v>46386.390739662449</v>
      </c>
      <c r="J18" s="181">
        <f t="shared" si="8"/>
        <v>47328.203960864979</v>
      </c>
      <c r="K18" s="182">
        <f t="shared" si="8"/>
        <v>48562.757432383973</v>
      </c>
      <c r="L18" s="154">
        <f>L17*47.08/52.14</f>
        <v>49755.21486909283</v>
      </c>
      <c r="M18" s="154">
        <f>M17*47.08/52.14</f>
        <v>50771.048523206744</v>
      </c>
    </row>
    <row r="19" spans="1:13" ht="15" x14ac:dyDescent="0.25">
      <c r="A19" s="128"/>
      <c r="B19" s="127" t="s">
        <v>18</v>
      </c>
      <c r="C19" s="116" t="s">
        <v>55</v>
      </c>
      <c r="D19" s="44"/>
      <c r="E19" s="44"/>
      <c r="F19" s="46">
        <f t="shared" ref="F19:K19" si="9">F15/1752</f>
        <v>330.51363470319637</v>
      </c>
      <c r="G19" s="44">
        <f t="shared" si="9"/>
        <v>337.65834942922373</v>
      </c>
      <c r="H19" s="46">
        <f t="shared" si="9"/>
        <v>344.80180097031962</v>
      </c>
      <c r="I19" s="44">
        <f t="shared" si="9"/>
        <v>351.94527819634703</v>
      </c>
      <c r="J19" s="46">
        <f t="shared" si="9"/>
        <v>359.08936132990868</v>
      </c>
      <c r="K19" s="44">
        <f t="shared" si="9"/>
        <v>368.45401287100458</v>
      </c>
      <c r="L19" s="155">
        <f>L15/1752</f>
        <v>377.49934677511419</v>
      </c>
      <c r="M19" s="155">
        <f>M15/1752</f>
        <v>385.20490867579906</v>
      </c>
    </row>
    <row r="20" spans="1:13" ht="15" x14ac:dyDescent="0.25">
      <c r="A20" s="128"/>
      <c r="B20" s="127" t="s">
        <v>20</v>
      </c>
      <c r="C20" s="116" t="s">
        <v>56</v>
      </c>
      <c r="D20" s="44"/>
      <c r="E20" s="44"/>
      <c r="F20" s="46">
        <f t="shared" ref="F20:K20" si="10">F15/1752*1.65</f>
        <v>545.34749726027394</v>
      </c>
      <c r="G20" s="44">
        <f t="shared" si="10"/>
        <v>557.13627655821915</v>
      </c>
      <c r="H20" s="46">
        <f t="shared" si="10"/>
        <v>568.92297160102737</v>
      </c>
      <c r="I20" s="44">
        <f t="shared" si="10"/>
        <v>580.70970902397255</v>
      </c>
      <c r="J20" s="46">
        <f t="shared" si="10"/>
        <v>592.49744619434932</v>
      </c>
      <c r="K20" s="44">
        <f t="shared" si="10"/>
        <v>607.94912123715756</v>
      </c>
      <c r="L20" s="155">
        <f>L15/1752*1.65</f>
        <v>622.87392217893841</v>
      </c>
      <c r="M20" s="155">
        <f>M15/1752*1.65</f>
        <v>635.58809931506846</v>
      </c>
    </row>
    <row r="21" spans="1:13" x14ac:dyDescent="0.3">
      <c r="A21" s="128"/>
      <c r="B21" s="127" t="s">
        <v>21</v>
      </c>
      <c r="C21" s="116" t="s">
        <v>57</v>
      </c>
      <c r="D21" s="44"/>
      <c r="E21" s="44"/>
      <c r="F21" s="46">
        <f t="shared" ref="F21:K21" si="11">F17/162.5</f>
        <v>296.87891692307693</v>
      </c>
      <c r="G21" s="44">
        <f t="shared" si="11"/>
        <v>303.29816830769232</v>
      </c>
      <c r="H21" s="46">
        <f t="shared" si="11"/>
        <v>309.71628476923075</v>
      </c>
      <c r="I21" s="44">
        <f t="shared" si="11"/>
        <v>316.13442430769231</v>
      </c>
      <c r="J21" s="46">
        <f t="shared" si="11"/>
        <v>322.55310823076923</v>
      </c>
      <c r="K21" s="44">
        <f t="shared" si="11"/>
        <v>330.96688746153848</v>
      </c>
      <c r="L21" s="155">
        <f>L17/162.5</f>
        <v>339.09377207692313</v>
      </c>
      <c r="M21" s="155">
        <f>M17/162.5</f>
        <v>346.01692307692309</v>
      </c>
    </row>
    <row r="22" spans="1:13" x14ac:dyDescent="0.3">
      <c r="A22" s="128"/>
      <c r="B22" s="127" t="s">
        <v>22</v>
      </c>
      <c r="C22" s="116" t="s">
        <v>58</v>
      </c>
      <c r="D22" s="44"/>
      <c r="E22" s="44"/>
      <c r="F22" s="46">
        <f t="shared" ref="F22:K22" si="12">F21*1.5</f>
        <v>445.31837538461536</v>
      </c>
      <c r="G22" s="44">
        <f t="shared" si="12"/>
        <v>454.94725246153848</v>
      </c>
      <c r="H22" s="46">
        <f t="shared" si="12"/>
        <v>464.57442715384616</v>
      </c>
      <c r="I22" s="44">
        <f t="shared" si="12"/>
        <v>474.20163646153844</v>
      </c>
      <c r="J22" s="46">
        <f t="shared" si="12"/>
        <v>483.82966234615384</v>
      </c>
      <c r="K22" s="44">
        <f t="shared" si="12"/>
        <v>496.45033119230771</v>
      </c>
      <c r="L22" s="155">
        <f>L21*1.5</f>
        <v>508.64065811538467</v>
      </c>
      <c r="M22" s="155">
        <f>M21*1.5</f>
        <v>519.02538461538461</v>
      </c>
    </row>
    <row r="23" spans="1:13" ht="15" x14ac:dyDescent="0.25">
      <c r="A23" s="128"/>
      <c r="B23" s="127" t="s">
        <v>23</v>
      </c>
      <c r="C23" s="116" t="s">
        <v>59</v>
      </c>
      <c r="D23" s="44"/>
      <c r="E23" s="44"/>
      <c r="F23" s="46">
        <f t="shared" ref="F23:K23" si="13">F21*2</f>
        <v>593.75783384615386</v>
      </c>
      <c r="G23" s="44">
        <f t="shared" si="13"/>
        <v>606.59633661538464</v>
      </c>
      <c r="H23" s="46">
        <f t="shared" si="13"/>
        <v>619.43256953846151</v>
      </c>
      <c r="I23" s="44">
        <f t="shared" si="13"/>
        <v>632.26884861538463</v>
      </c>
      <c r="J23" s="46">
        <f t="shared" si="13"/>
        <v>645.10621646153845</v>
      </c>
      <c r="K23" s="44">
        <f t="shared" si="13"/>
        <v>661.93377492307695</v>
      </c>
      <c r="L23" s="155">
        <f>L21*2</f>
        <v>678.18754415384626</v>
      </c>
      <c r="M23" s="155">
        <f>M21*2</f>
        <v>692.03384615384618</v>
      </c>
    </row>
    <row r="24" spans="1:13" ht="15" x14ac:dyDescent="0.25">
      <c r="A24" s="128"/>
      <c r="B24" s="127" t="s">
        <v>24</v>
      </c>
      <c r="C24" s="116"/>
      <c r="D24" s="44"/>
      <c r="E24" s="46"/>
      <c r="F24" s="44"/>
      <c r="G24" s="44"/>
      <c r="H24" s="44"/>
      <c r="I24" s="44"/>
      <c r="J24" s="46"/>
      <c r="K24" s="44"/>
      <c r="L24" s="131"/>
      <c r="M24" s="42"/>
    </row>
    <row r="25" spans="1:13" ht="15.75" thickBot="1" x14ac:dyDescent="0.3">
      <c r="A25" s="132"/>
      <c r="B25" s="133" t="s">
        <v>25</v>
      </c>
      <c r="C25" s="134"/>
      <c r="D25" s="67"/>
      <c r="E25" s="161"/>
      <c r="F25" s="67"/>
      <c r="G25" s="67"/>
      <c r="H25" s="67"/>
      <c r="I25" s="67"/>
      <c r="J25" s="135"/>
      <c r="K25" s="67"/>
      <c r="L25" s="136"/>
      <c r="M25" s="42"/>
    </row>
    <row r="26" spans="1:13" ht="15.6" x14ac:dyDescent="0.3">
      <c r="A26" s="137" t="s">
        <v>26</v>
      </c>
      <c r="B26" s="103" t="s">
        <v>27</v>
      </c>
      <c r="C26" s="104" t="s">
        <v>7</v>
      </c>
      <c r="D26" s="38"/>
      <c r="E26" s="160"/>
      <c r="F26" s="174">
        <f>477260.7+(477260.7*1.1%)+10000+5733+(498244*4.5%)+10000+5340+12000+12000+5160</f>
        <v>565164.5477</v>
      </c>
      <c r="G26" s="30">
        <f>488668.95+(488668.95*1.1%)+10000+5733+(509777*4.5%)+10000+5340+12000+12000+5160</f>
        <v>577217.27344999998</v>
      </c>
      <c r="H26" s="30">
        <f>500073+(500073*1.1%)+10000+5733+(521307*4.5%)+10000+5340+12000+12000+5160</f>
        <v>589265.61800000002</v>
      </c>
      <c r="I26" s="30">
        <f>511479.15+(511479.15*1.1%)+10000+5733+(532838*4.5%)+10000+5340+12000+12000+5160</f>
        <v>601316.13064999995</v>
      </c>
      <c r="J26" s="30">
        <f>522883.2+(522883.2*1.1%)+10000+5733+(544368*4.5%)+10000+5340+12000+12000+5160</f>
        <v>613364.47519999999</v>
      </c>
      <c r="K26" s="31">
        <f>537973.8+(537973.8*1.1%)+10000+5733+(559625*4.5%)+10000+5340+12000+12000+5160</f>
        <v>629307.63680000009</v>
      </c>
      <c r="L26" s="30">
        <f>556623+10000+5733+(572365*4.5%)+10000+5340+12000+12000+5160</f>
        <v>642612.42500000005</v>
      </c>
      <c r="M26" s="34">
        <f>598112+12500+10000+6340+12000+12000+5160</f>
        <v>656112</v>
      </c>
    </row>
    <row r="27" spans="1:13" x14ac:dyDescent="0.3">
      <c r="A27" s="106"/>
      <c r="B27" s="107" t="s">
        <v>28</v>
      </c>
      <c r="C27" s="108" t="s">
        <v>52</v>
      </c>
      <c r="D27" s="38"/>
      <c r="E27" s="38"/>
      <c r="F27" s="157">
        <v>1</v>
      </c>
      <c r="G27" s="157">
        <v>1</v>
      </c>
      <c r="H27" s="157">
        <v>1</v>
      </c>
      <c r="I27" s="157">
        <v>1</v>
      </c>
      <c r="J27" s="157">
        <v>1</v>
      </c>
      <c r="K27" s="157">
        <v>1</v>
      </c>
      <c r="L27" s="157">
        <v>1</v>
      </c>
      <c r="M27" s="157">
        <v>1</v>
      </c>
    </row>
    <row r="28" spans="1:13" x14ac:dyDescent="0.3">
      <c r="A28" s="106"/>
      <c r="B28" s="107" t="s">
        <v>29</v>
      </c>
      <c r="C28" s="108" t="s">
        <v>53</v>
      </c>
      <c r="D28" s="38"/>
      <c r="E28" s="39"/>
      <c r="F28" s="179">
        <f t="shared" ref="F28:M28" si="14">((F26)-(F27*146))/12</f>
        <v>47084.878975</v>
      </c>
      <c r="G28" s="179">
        <f t="shared" si="14"/>
        <v>48089.272787499998</v>
      </c>
      <c r="H28" s="179">
        <f t="shared" si="14"/>
        <v>49093.301500000001</v>
      </c>
      <c r="I28" s="179">
        <f t="shared" si="14"/>
        <v>50097.510887499993</v>
      </c>
      <c r="J28" s="179">
        <f t="shared" si="14"/>
        <v>51101.539599999996</v>
      </c>
      <c r="K28" s="179">
        <f t="shared" si="14"/>
        <v>52430.13640000001</v>
      </c>
      <c r="L28" s="179">
        <f t="shared" si="14"/>
        <v>53538.868750000001</v>
      </c>
      <c r="M28" s="179">
        <f t="shared" si="14"/>
        <v>54663.833333333336</v>
      </c>
    </row>
    <row r="29" spans="1:13" x14ac:dyDescent="0.3">
      <c r="A29" s="106"/>
      <c r="B29" s="107" t="s">
        <v>30</v>
      </c>
      <c r="C29" s="108" t="s">
        <v>54</v>
      </c>
      <c r="D29" s="38"/>
      <c r="E29" s="39"/>
      <c r="F29" s="179">
        <f t="shared" ref="F29:K29" si="15">F28*47.08/52.14</f>
        <v>42515.460340295358</v>
      </c>
      <c r="G29" s="179">
        <f t="shared" si="15"/>
        <v>43422.381335548525</v>
      </c>
      <c r="H29" s="179">
        <f t="shared" si="15"/>
        <v>44328.972662447261</v>
      </c>
      <c r="I29" s="179">
        <f t="shared" si="15"/>
        <v>45235.727130485226</v>
      </c>
      <c r="J29" s="179">
        <f t="shared" si="15"/>
        <v>46142.318457383961</v>
      </c>
      <c r="K29" s="179">
        <f t="shared" si="15"/>
        <v>47341.979702953591</v>
      </c>
      <c r="L29" s="179">
        <f>L28*47.08/52.14</f>
        <v>48343.113554852323</v>
      </c>
      <c r="M29" s="179">
        <f>M28*47.08/52.14</f>
        <v>49358.904360056258</v>
      </c>
    </row>
    <row r="30" spans="1:13" ht="15" x14ac:dyDescent="0.25">
      <c r="A30" s="106"/>
      <c r="B30" s="107" t="s">
        <v>31</v>
      </c>
      <c r="C30" s="116" t="s">
        <v>55</v>
      </c>
      <c r="D30" s="44"/>
      <c r="E30" s="45"/>
      <c r="F30" s="45">
        <f t="shared" ref="F30:M30" si="16">F26/1752</f>
        <v>322.58250439497715</v>
      </c>
      <c r="G30" s="45">
        <f t="shared" si="16"/>
        <v>329.4619140696347</v>
      </c>
      <c r="H30" s="45">
        <f t="shared" si="16"/>
        <v>336.33882305936072</v>
      </c>
      <c r="I30" s="45">
        <f t="shared" si="16"/>
        <v>343.21696954908674</v>
      </c>
      <c r="J30" s="45">
        <f t="shared" si="16"/>
        <v>350.09387853881276</v>
      </c>
      <c r="K30" s="45">
        <f t="shared" si="16"/>
        <v>359.19385662100461</v>
      </c>
      <c r="L30" s="45">
        <f t="shared" si="16"/>
        <v>366.7879138127854</v>
      </c>
      <c r="M30" s="45">
        <f t="shared" si="16"/>
        <v>374.49315068493149</v>
      </c>
    </row>
    <row r="31" spans="1:13" x14ac:dyDescent="0.3">
      <c r="A31" s="106"/>
      <c r="B31" s="107" t="s">
        <v>32</v>
      </c>
      <c r="C31" s="116" t="s">
        <v>56</v>
      </c>
      <c r="D31" s="44"/>
      <c r="E31" s="45"/>
      <c r="F31" s="45">
        <f t="shared" ref="F31:M31" si="17">F26/1752*1.65</f>
        <v>532.2611322517123</v>
      </c>
      <c r="G31" s="45">
        <f t="shared" si="17"/>
        <v>543.61215821489725</v>
      </c>
      <c r="H31" s="45">
        <f t="shared" si="17"/>
        <v>554.95905804794518</v>
      </c>
      <c r="I31" s="45">
        <f t="shared" si="17"/>
        <v>566.30799975599314</v>
      </c>
      <c r="J31" s="45">
        <f t="shared" si="17"/>
        <v>577.65489958904107</v>
      </c>
      <c r="K31" s="45">
        <f t="shared" si="17"/>
        <v>592.66986342465759</v>
      </c>
      <c r="L31" s="45">
        <f t="shared" si="17"/>
        <v>605.2000577910959</v>
      </c>
      <c r="M31" s="45">
        <f t="shared" si="17"/>
        <v>617.91369863013688</v>
      </c>
    </row>
    <row r="32" spans="1:13" ht="15" x14ac:dyDescent="0.25">
      <c r="A32" s="106"/>
      <c r="B32" s="107" t="s">
        <v>33</v>
      </c>
      <c r="C32" s="116" t="s">
        <v>57</v>
      </c>
      <c r="D32" s="44"/>
      <c r="E32" s="45"/>
      <c r="F32" s="45">
        <f t="shared" ref="F32:K32" si="18">F28/162.5</f>
        <v>289.75310138461538</v>
      </c>
      <c r="G32" s="45">
        <f t="shared" si="18"/>
        <v>295.93398638461537</v>
      </c>
      <c r="H32" s="45">
        <f t="shared" si="18"/>
        <v>302.11262461538462</v>
      </c>
      <c r="I32" s="45">
        <f t="shared" si="18"/>
        <v>308.29237469230765</v>
      </c>
      <c r="J32" s="45">
        <f t="shared" si="18"/>
        <v>314.4710129230769</v>
      </c>
      <c r="K32" s="45">
        <f t="shared" si="18"/>
        <v>322.64699323076928</v>
      </c>
      <c r="L32" s="45">
        <f>L28/162.5</f>
        <v>329.46996153846158</v>
      </c>
      <c r="M32" s="45">
        <f>M28/162.5</f>
        <v>336.39282051282055</v>
      </c>
    </row>
    <row r="33" spans="1:14" ht="15" x14ac:dyDescent="0.25">
      <c r="A33" s="106"/>
      <c r="B33" s="107" t="s">
        <v>34</v>
      </c>
      <c r="C33" s="116" t="s">
        <v>58</v>
      </c>
      <c r="D33" s="44"/>
      <c r="E33" s="45"/>
      <c r="F33" s="45">
        <f t="shared" ref="F33:K33" si="19">F32*1.5</f>
        <v>434.62965207692309</v>
      </c>
      <c r="G33" s="45">
        <f t="shared" si="19"/>
        <v>443.90097957692308</v>
      </c>
      <c r="H33" s="45">
        <f t="shared" si="19"/>
        <v>453.1689369230769</v>
      </c>
      <c r="I33" s="45">
        <f t="shared" si="19"/>
        <v>462.43856203846144</v>
      </c>
      <c r="J33" s="45">
        <f t="shared" si="19"/>
        <v>471.70651938461538</v>
      </c>
      <c r="K33" s="45">
        <f t="shared" si="19"/>
        <v>483.9704898461539</v>
      </c>
      <c r="L33" s="45">
        <f>L32*1.5</f>
        <v>494.20494230769236</v>
      </c>
      <c r="M33" s="45">
        <f>M32*1.5</f>
        <v>504.58923076923082</v>
      </c>
    </row>
    <row r="34" spans="1:14" ht="15.75" thickBot="1" x14ac:dyDescent="0.3">
      <c r="A34" s="138"/>
      <c r="B34" s="139" t="s">
        <v>35</v>
      </c>
      <c r="C34" s="122" t="s">
        <v>59</v>
      </c>
      <c r="D34" s="51"/>
      <c r="E34" s="52"/>
      <c r="F34" s="52">
        <f t="shared" ref="F34:K34" si="20">F32*2</f>
        <v>579.50620276923075</v>
      </c>
      <c r="G34" s="52">
        <f t="shared" si="20"/>
        <v>591.86797276923073</v>
      </c>
      <c r="H34" s="52">
        <f t="shared" si="20"/>
        <v>604.22524923076924</v>
      </c>
      <c r="I34" s="52">
        <f t="shared" si="20"/>
        <v>616.58474938461529</v>
      </c>
      <c r="J34" s="52">
        <f t="shared" si="20"/>
        <v>628.9420258461538</v>
      </c>
      <c r="K34" s="52">
        <f t="shared" si="20"/>
        <v>645.29398646153857</v>
      </c>
      <c r="L34" s="52">
        <f>L32*2</f>
        <v>658.93992307692315</v>
      </c>
      <c r="M34" s="52">
        <f>M32*2</f>
        <v>672.7856410256411</v>
      </c>
    </row>
    <row r="35" spans="1:14" ht="15.6" x14ac:dyDescent="0.3">
      <c r="A35" s="137" t="s">
        <v>36</v>
      </c>
      <c r="B35" s="103" t="s">
        <v>37</v>
      </c>
      <c r="C35" s="104" t="s">
        <v>7</v>
      </c>
      <c r="D35" s="38"/>
      <c r="E35" s="160"/>
      <c r="F35" s="174">
        <f>434527.44615+10000+5733+(450260*4.5%)+10000+5340+12000+12000+5160</f>
        <v>515022.14614999999</v>
      </c>
      <c r="G35" s="30">
        <f>443420.0505+10000+5733+(459153*4.5%)+10000+5340+12000+12000+5160</f>
        <v>524314.93550000002</v>
      </c>
      <c r="H35" s="30">
        <f>452314.77795+10000+5733+(468048*4.5%)+10000+5340+12000+12000+5160</f>
        <v>533609.93794999993</v>
      </c>
      <c r="I35" s="30">
        <f>461207.3823+10000+5733+(476940*4.5%)+10000+5340+12000+12000+5160</f>
        <v>542902.68229999999</v>
      </c>
      <c r="J35" s="30">
        <f>470102.10975+10000+5733+(485835*4.5%)+10000+5340+12000+12000+5160</f>
        <v>552197.68475000001</v>
      </c>
      <c r="K35" s="31">
        <f>482720.7546+10000+5733+(498454*4.5%)+10000+5340+12000+12000+5160</f>
        <v>565384.18460000004</v>
      </c>
      <c r="L35" s="30">
        <f>489229+10000+5733+(504962*4.5%)+10000+5340+12000+12000+5160</f>
        <v>572185.29</v>
      </c>
      <c r="M35" s="34">
        <f>527685+12500+10000+6340+12000+12000+5160</f>
        <v>585685</v>
      </c>
    </row>
    <row r="36" spans="1:14" x14ac:dyDescent="0.3">
      <c r="A36" s="106"/>
      <c r="B36" s="107" t="s">
        <v>38</v>
      </c>
      <c r="C36" s="108" t="s">
        <v>52</v>
      </c>
      <c r="D36" s="38"/>
      <c r="E36" s="38"/>
      <c r="F36" s="157">
        <v>1</v>
      </c>
      <c r="G36" s="157">
        <v>1</v>
      </c>
      <c r="H36" s="157">
        <v>1</v>
      </c>
      <c r="I36" s="157">
        <v>1</v>
      </c>
      <c r="J36" s="157">
        <v>1</v>
      </c>
      <c r="K36" s="157">
        <v>1</v>
      </c>
      <c r="L36" s="157">
        <v>1</v>
      </c>
      <c r="M36" s="157">
        <v>1</v>
      </c>
    </row>
    <row r="37" spans="1:14" x14ac:dyDescent="0.3">
      <c r="A37" s="106"/>
      <c r="B37" s="107"/>
      <c r="C37" s="108" t="s">
        <v>53</v>
      </c>
      <c r="D37" s="38"/>
      <c r="E37" s="39"/>
      <c r="F37" s="179">
        <f t="shared" ref="F37:M37" si="21">((F35)-(F36*146))/12</f>
        <v>42906.345512499996</v>
      </c>
      <c r="G37" s="179">
        <f t="shared" si="21"/>
        <v>43680.744624999999</v>
      </c>
      <c r="H37" s="179">
        <f t="shared" si="21"/>
        <v>44455.328162499995</v>
      </c>
      <c r="I37" s="179">
        <f t="shared" si="21"/>
        <v>45229.723525000001</v>
      </c>
      <c r="J37" s="179">
        <f t="shared" si="21"/>
        <v>46004.307062500004</v>
      </c>
      <c r="K37" s="179">
        <f t="shared" si="21"/>
        <v>47103.182050000003</v>
      </c>
      <c r="L37" s="179">
        <f t="shared" si="21"/>
        <v>47669.940833333334</v>
      </c>
      <c r="M37" s="179">
        <f t="shared" si="21"/>
        <v>48794.916666666664</v>
      </c>
    </row>
    <row r="38" spans="1:14" x14ac:dyDescent="0.3">
      <c r="A38" s="106"/>
      <c r="B38" s="107"/>
      <c r="C38" s="108" t="s">
        <v>54</v>
      </c>
      <c r="D38" s="38"/>
      <c r="E38" s="39"/>
      <c r="F38" s="179">
        <f t="shared" ref="F38:K38" si="22">F37*47.08/52.14</f>
        <v>38742.43856402953</v>
      </c>
      <c r="G38" s="179">
        <f t="shared" si="22"/>
        <v>39441.68502004219</v>
      </c>
      <c r="H38" s="179">
        <f t="shared" si="22"/>
        <v>40141.098003270032</v>
      </c>
      <c r="I38" s="179">
        <f t="shared" si="22"/>
        <v>40840.341073206757</v>
      </c>
      <c r="J38" s="179">
        <f t="shared" si="22"/>
        <v>41539.754056434605</v>
      </c>
      <c r="K38" s="179">
        <f t="shared" si="22"/>
        <v>42531.987167510546</v>
      </c>
      <c r="L38" s="179">
        <f>L37*47.08/52.14</f>
        <v>43043.744043600564</v>
      </c>
      <c r="M38" s="179">
        <f>M37*47.08/52.14</f>
        <v>44059.545007032342</v>
      </c>
    </row>
    <row r="39" spans="1:14" ht="15" x14ac:dyDescent="0.25">
      <c r="A39" s="106"/>
      <c r="B39" s="107"/>
      <c r="C39" s="116" t="s">
        <v>55</v>
      </c>
      <c r="D39" s="44"/>
      <c r="E39" s="45"/>
      <c r="F39" s="45">
        <f t="shared" ref="F39:M39" si="23">F35/1752</f>
        <v>293.96241218607304</v>
      </c>
      <c r="G39" s="45">
        <f t="shared" si="23"/>
        <v>299.26651569634703</v>
      </c>
      <c r="H39" s="45">
        <f t="shared" si="23"/>
        <v>304.57188239155249</v>
      </c>
      <c r="I39" s="45">
        <f t="shared" si="23"/>
        <v>309.87596021689495</v>
      </c>
      <c r="J39" s="45">
        <f t="shared" si="23"/>
        <v>315.18132691210047</v>
      </c>
      <c r="K39" s="45">
        <f t="shared" si="23"/>
        <v>322.70786792237448</v>
      </c>
      <c r="L39" s="45">
        <f t="shared" si="23"/>
        <v>326.58977739726032</v>
      </c>
      <c r="M39" s="45">
        <f t="shared" si="23"/>
        <v>334.29509132420094</v>
      </c>
    </row>
    <row r="40" spans="1:14" x14ac:dyDescent="0.3">
      <c r="A40" s="106"/>
      <c r="B40" s="107"/>
      <c r="C40" s="116" t="s">
        <v>56</v>
      </c>
      <c r="D40" s="44"/>
      <c r="E40" s="45"/>
      <c r="F40" s="45">
        <f t="shared" ref="F40:M40" si="24">F35/1752*1.65</f>
        <v>485.03798010702047</v>
      </c>
      <c r="G40" s="45">
        <f t="shared" si="24"/>
        <v>493.78975089897256</v>
      </c>
      <c r="H40" s="45">
        <f t="shared" si="24"/>
        <v>502.54360594606158</v>
      </c>
      <c r="I40" s="45">
        <f t="shared" si="24"/>
        <v>511.29533435787664</v>
      </c>
      <c r="J40" s="45">
        <f t="shared" si="24"/>
        <v>520.04918940496577</v>
      </c>
      <c r="K40" s="45">
        <f t="shared" si="24"/>
        <v>532.46798207191785</v>
      </c>
      <c r="L40" s="45">
        <f t="shared" si="24"/>
        <v>538.87313270547952</v>
      </c>
      <c r="M40" s="45">
        <f t="shared" si="24"/>
        <v>551.58690068493149</v>
      </c>
    </row>
    <row r="41" spans="1:14" x14ac:dyDescent="0.3">
      <c r="A41" s="106"/>
      <c r="B41" s="107"/>
      <c r="C41" s="116" t="s">
        <v>57</v>
      </c>
      <c r="D41" s="44"/>
      <c r="E41" s="45"/>
      <c r="F41" s="45">
        <f t="shared" ref="F41:K41" si="25">F37/162.5</f>
        <v>264.03904930769227</v>
      </c>
      <c r="G41" s="45">
        <f t="shared" si="25"/>
        <v>268.80458230769233</v>
      </c>
      <c r="H41" s="45">
        <f t="shared" si="25"/>
        <v>273.57125023076918</v>
      </c>
      <c r="I41" s="45">
        <f t="shared" si="25"/>
        <v>278.33676015384617</v>
      </c>
      <c r="J41" s="45">
        <f t="shared" si="25"/>
        <v>283.10342807692308</v>
      </c>
      <c r="K41" s="45">
        <f t="shared" si="25"/>
        <v>289.86573569230774</v>
      </c>
      <c r="L41" s="45">
        <f>L37/162.5</f>
        <v>293.35348205128207</v>
      </c>
      <c r="M41" s="45">
        <f>M37/162.5</f>
        <v>300.27641025641026</v>
      </c>
    </row>
    <row r="42" spans="1:14" x14ac:dyDescent="0.3">
      <c r="A42" s="106"/>
      <c r="B42" s="107"/>
      <c r="C42" s="116" t="s">
        <v>58</v>
      </c>
      <c r="D42" s="44"/>
      <c r="E42" s="45"/>
      <c r="F42" s="45">
        <f t="shared" ref="F42:K42" si="26">F41*1.5</f>
        <v>396.0585739615384</v>
      </c>
      <c r="G42" s="45">
        <f t="shared" si="26"/>
        <v>403.20687346153852</v>
      </c>
      <c r="H42" s="45">
        <f t="shared" si="26"/>
        <v>410.35687534615374</v>
      </c>
      <c r="I42" s="45">
        <f t="shared" si="26"/>
        <v>417.50514023076926</v>
      </c>
      <c r="J42" s="45">
        <f t="shared" si="26"/>
        <v>424.65514211538459</v>
      </c>
      <c r="K42" s="45">
        <f t="shared" si="26"/>
        <v>434.79860353846163</v>
      </c>
      <c r="L42" s="45">
        <f>L41*1.5</f>
        <v>440.03022307692311</v>
      </c>
      <c r="M42" s="45">
        <f>M41*1.5</f>
        <v>450.41461538461539</v>
      </c>
    </row>
    <row r="43" spans="1:14" ht="15" thickBot="1" x14ac:dyDescent="0.35">
      <c r="A43" s="138"/>
      <c r="B43" s="140"/>
      <c r="C43" s="122" t="s">
        <v>59</v>
      </c>
      <c r="D43" s="51"/>
      <c r="E43" s="52"/>
      <c r="F43" s="52">
        <f t="shared" ref="F43:K43" si="27">F41*2</f>
        <v>528.07809861538453</v>
      </c>
      <c r="G43" s="52">
        <f t="shared" si="27"/>
        <v>537.60916461538466</v>
      </c>
      <c r="H43" s="52">
        <f t="shared" si="27"/>
        <v>547.14250046153836</v>
      </c>
      <c r="I43" s="52">
        <f t="shared" si="27"/>
        <v>556.67352030769234</v>
      </c>
      <c r="J43" s="52">
        <f t="shared" si="27"/>
        <v>566.20685615384616</v>
      </c>
      <c r="K43" s="52">
        <f t="shared" si="27"/>
        <v>579.73147138461547</v>
      </c>
      <c r="L43" s="52">
        <f>L41*2</f>
        <v>586.70696410256414</v>
      </c>
      <c r="M43" s="52">
        <f>M41*2</f>
        <v>600.55282051282052</v>
      </c>
    </row>
    <row r="44" spans="1:14" x14ac:dyDescent="0.3">
      <c r="A44" s="11" t="s">
        <v>39</v>
      </c>
      <c r="B44" s="11"/>
      <c r="C44" s="11"/>
      <c r="D44" s="11"/>
      <c r="E44" s="11"/>
      <c r="F44" s="11"/>
      <c r="G44" s="11"/>
      <c r="H44" s="81"/>
      <c r="I44" s="81"/>
      <c r="J44" s="81"/>
      <c r="K44" s="81"/>
      <c r="L44" s="81"/>
    </row>
    <row r="45" spans="1:14" ht="16.5" customHeight="1" x14ac:dyDescent="0.3">
      <c r="A45" s="82" t="s">
        <v>40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</row>
    <row r="46" spans="1:14" ht="9.75" customHeight="1" x14ac:dyDescent="0.3">
      <c r="I46" s="12"/>
      <c r="J46" s="12"/>
      <c r="K46" s="12"/>
      <c r="L46" s="12"/>
      <c r="M46" s="11"/>
      <c r="N46" s="11"/>
    </row>
    <row r="47" spans="1:14" x14ac:dyDescent="0.3">
      <c r="A47" s="141" t="s">
        <v>41</v>
      </c>
      <c r="B47" s="142"/>
      <c r="C47" s="142"/>
      <c r="D47" s="143"/>
      <c r="E47" s="143"/>
      <c r="F47" s="143"/>
      <c r="G47" s="144"/>
      <c r="H47" s="144"/>
      <c r="N47" s="11"/>
    </row>
    <row r="48" spans="1:14" x14ac:dyDescent="0.3">
      <c r="A48" s="145" t="s">
        <v>43</v>
      </c>
      <c r="B48" s="147"/>
      <c r="C48" s="145" t="s">
        <v>45</v>
      </c>
      <c r="D48" s="147"/>
      <c r="E48" s="145" t="s">
        <v>47</v>
      </c>
      <c r="F48" s="147"/>
      <c r="G48" s="145" t="s">
        <v>49</v>
      </c>
      <c r="H48" s="147"/>
      <c r="N48" s="11"/>
    </row>
    <row r="49" spans="1:8" x14ac:dyDescent="0.3">
      <c r="A49" s="145" t="s">
        <v>44</v>
      </c>
      <c r="B49" s="147"/>
      <c r="C49" s="145" t="s">
        <v>46</v>
      </c>
      <c r="D49" s="147"/>
      <c r="E49" s="148" t="s">
        <v>60</v>
      </c>
      <c r="F49" s="149"/>
      <c r="G49" s="145" t="s">
        <v>61</v>
      </c>
      <c r="H49" s="147"/>
    </row>
    <row r="50" spans="1:8" ht="17.25" customHeight="1" x14ac:dyDescent="0.3">
      <c r="A50" s="150" t="s">
        <v>62</v>
      </c>
    </row>
  </sheetData>
  <mergeCells count="1">
    <mergeCell ref="G4:N4"/>
  </mergeCells>
  <pageMargins left="0.51181102362204722" right="0.31496062992125984" top="0.55118110236220474" bottom="0.35433070866141736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Lønnstabell fra 1 juni 2013</vt:lpstr>
      <vt:lpstr>Tabell med 47% sokkelkomp.</vt:lpstr>
      <vt:lpstr>Tab. med fast avt. sokkelkomp.</vt:lpstr>
      <vt:lpstr>'Lønnstabell fra 1 juni 2013'!Utskriftsområde</vt:lpstr>
    </vt:vector>
  </TitlesOfParts>
  <Company>Industri Energi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Johansen</dc:creator>
  <cp:lastModifiedBy>Christopher Birknes</cp:lastModifiedBy>
  <cp:lastPrinted>2013-06-20T19:10:19Z</cp:lastPrinted>
  <dcterms:created xsi:type="dcterms:W3CDTF">2013-06-20T18:37:39Z</dcterms:created>
  <dcterms:modified xsi:type="dcterms:W3CDTF">2015-06-30T14:16:31Z</dcterms:modified>
</cp:coreProperties>
</file>